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ownofmontaguema.sharepoint.com/sites/GRP_ACCOUNTING/Shared Documents/Files/Accounting/Fiscal Year Info/FY2022/"/>
    </mc:Choice>
  </mc:AlternateContent>
  <xr:revisionPtr revIDLastSave="634" documentId="8_{7DCF05B8-6870-4211-9FFE-D2E00695CEE4}" xr6:coauthVersionLast="47" xr6:coauthVersionMax="47" xr10:uidLastSave="{4EA7DD4A-F288-421E-9FEC-1C40514DFB82}"/>
  <bookViews>
    <workbookView xWindow="-108" yWindow="-108" windowWidth="23256" windowHeight="12576" firstSheet="1" activeTab="3" xr2:uid="{DB9FF526-751E-4D01-B511-74689F9D146C}"/>
  </bookViews>
  <sheets>
    <sheet name="Narrative" sheetId="4" r:id="rId1"/>
    <sheet name="General Fund Balance Sheet" sheetId="5" r:id="rId2"/>
    <sheet name="From PY Undes to CY Free Cash" sheetId="2" r:id="rId3"/>
    <sheet name="GF Revenues and Expenditures" sheetId="1" r:id="rId4"/>
    <sheet name="Ent Rev and Exp" sheetId="3" r:id="rId5"/>
  </sheets>
  <definedNames>
    <definedName name="_xlnm.Print_Area" localSheetId="3">'GF Revenues and Expenditures'!$A$4:$D$127</definedName>
    <definedName name="_xlnm.Print_Titles" localSheetId="3">'GF Revenues and Expenditures'!$1:$3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5" l="1"/>
  <c r="G26" i="5"/>
  <c r="G28" i="5" s="1"/>
  <c r="G39" i="5" s="1"/>
  <c r="C23" i="5"/>
  <c r="C20" i="5"/>
  <c r="C9" i="5"/>
  <c r="C39" i="5" s="1"/>
  <c r="C138" i="1" l="1"/>
  <c r="C137" i="1"/>
  <c r="B138" i="1"/>
  <c r="B137" i="1"/>
  <c r="C41" i="1" l="1"/>
  <c r="D42" i="2"/>
  <c r="D133" i="1" l="1"/>
  <c r="D28" i="3"/>
  <c r="D26" i="3"/>
  <c r="C26" i="3"/>
  <c r="B20" i="3"/>
  <c r="C20" i="3"/>
  <c r="C51" i="1" l="1"/>
  <c r="C119" i="1"/>
  <c r="D123" i="1"/>
  <c r="C126" i="1"/>
  <c r="D121" i="1"/>
  <c r="C88" i="1"/>
  <c r="B26" i="3"/>
  <c r="D25" i="3"/>
  <c r="D24" i="3"/>
  <c r="D23" i="3"/>
  <c r="D22" i="3"/>
  <c r="C13" i="3"/>
  <c r="B13" i="3"/>
  <c r="D11" i="3"/>
  <c r="D10" i="3"/>
  <c r="D9" i="3"/>
  <c r="D8" i="3"/>
  <c r="D7" i="3"/>
  <c r="D21" i="3"/>
  <c r="D20" i="3"/>
  <c r="B4" i="3"/>
  <c r="D4" i="3" s="1"/>
  <c r="C48" i="1"/>
  <c r="D42" i="1"/>
  <c r="D47" i="1"/>
  <c r="E47" i="1" s="1"/>
  <c r="D46" i="1"/>
  <c r="E46" i="1" s="1"/>
  <c r="D45" i="1"/>
  <c r="E45" i="1" s="1"/>
  <c r="D44" i="1"/>
  <c r="E44" i="1" s="1"/>
  <c r="D43" i="1"/>
  <c r="E43" i="1" s="1"/>
  <c r="D41" i="1"/>
  <c r="B48" i="1"/>
  <c r="C13" i="1"/>
  <c r="C16" i="1" s="1"/>
  <c r="C30" i="1"/>
  <c r="C32" i="1" s="1"/>
  <c r="C38" i="1" s="1"/>
  <c r="D87" i="1"/>
  <c r="E87" i="1" s="1"/>
  <c r="D86" i="1"/>
  <c r="E86" i="1" s="1"/>
  <c r="D118" i="1"/>
  <c r="E118" i="1" s="1"/>
  <c r="D117" i="1"/>
  <c r="D114" i="1"/>
  <c r="E114" i="1" s="1"/>
  <c r="D112" i="1"/>
  <c r="E112" i="1" s="1"/>
  <c r="D109" i="1"/>
  <c r="E109" i="1" s="1"/>
  <c r="D108" i="1"/>
  <c r="E108" i="1" s="1"/>
  <c r="D107" i="1"/>
  <c r="E107" i="1" s="1"/>
  <c r="D106" i="1"/>
  <c r="E106" i="1" s="1"/>
  <c r="D102" i="1"/>
  <c r="E102" i="1" s="1"/>
  <c r="D101" i="1"/>
  <c r="E101" i="1" s="1"/>
  <c r="D100" i="1"/>
  <c r="E100" i="1" s="1"/>
  <c r="D96" i="1"/>
  <c r="E96" i="1" s="1"/>
  <c r="D95" i="1"/>
  <c r="E95" i="1" s="1"/>
  <c r="D94" i="1"/>
  <c r="D93" i="1"/>
  <c r="D92" i="1"/>
  <c r="E92" i="1" s="1"/>
  <c r="D91" i="1"/>
  <c r="D82" i="1"/>
  <c r="E82" i="1" s="1"/>
  <c r="D81" i="1"/>
  <c r="E81" i="1" s="1"/>
  <c r="D80" i="1"/>
  <c r="E80" i="1" s="1"/>
  <c r="D79" i="1"/>
  <c r="E79" i="1" s="1"/>
  <c r="D78" i="1"/>
  <c r="E78" i="1" s="1"/>
  <c r="D77" i="1"/>
  <c r="E77" i="1" s="1"/>
  <c r="D76" i="1"/>
  <c r="E76" i="1" s="1"/>
  <c r="D75" i="1"/>
  <c r="E75" i="1" s="1"/>
  <c r="D74" i="1"/>
  <c r="E74" i="1" s="1"/>
  <c r="D70" i="1"/>
  <c r="E70" i="1" s="1"/>
  <c r="D69" i="1"/>
  <c r="E69" i="1" s="1"/>
  <c r="D68" i="1"/>
  <c r="E68" i="1" s="1"/>
  <c r="D67" i="1"/>
  <c r="E67" i="1" s="1"/>
  <c r="D66" i="1"/>
  <c r="E66" i="1" s="1"/>
  <c r="D65" i="1"/>
  <c r="E65" i="1" s="1"/>
  <c r="D64" i="1"/>
  <c r="D63" i="1"/>
  <c r="E63" i="1" s="1"/>
  <c r="D62" i="1"/>
  <c r="E62" i="1" s="1"/>
  <c r="D61" i="1"/>
  <c r="E61" i="1" s="1"/>
  <c r="D60" i="1"/>
  <c r="E60" i="1" s="1"/>
  <c r="D59" i="1"/>
  <c r="E59" i="1" s="1"/>
  <c r="D58" i="1"/>
  <c r="E58" i="1" s="1"/>
  <c r="D57" i="1"/>
  <c r="E57" i="1" s="1"/>
  <c r="D56" i="1"/>
  <c r="E56" i="1" s="1"/>
  <c r="D37" i="1"/>
  <c r="E37" i="1" s="1"/>
  <c r="D36" i="1"/>
  <c r="E36" i="1" s="1"/>
  <c r="D35" i="1"/>
  <c r="E35" i="1" s="1"/>
  <c r="D31" i="1"/>
  <c r="D29" i="1"/>
  <c r="E29" i="1" s="1"/>
  <c r="D28" i="1"/>
  <c r="E28" i="1" s="1"/>
  <c r="D27" i="1"/>
  <c r="E27" i="1" s="1"/>
  <c r="D26" i="1"/>
  <c r="E26" i="1" s="1"/>
  <c r="D25" i="1"/>
  <c r="E25" i="1" s="1"/>
  <c r="D24" i="1"/>
  <c r="E24" i="1" s="1"/>
  <c r="D23" i="1"/>
  <c r="E23" i="1" s="1"/>
  <c r="D22" i="1"/>
  <c r="E22" i="1" s="1"/>
  <c r="D21" i="1"/>
  <c r="E21" i="1" s="1"/>
  <c r="D20" i="1"/>
  <c r="E20" i="1" s="1"/>
  <c r="D19" i="1"/>
  <c r="E19" i="1" s="1"/>
  <c r="D15" i="1"/>
  <c r="E15" i="1" s="1"/>
  <c r="D12" i="1"/>
  <c r="E12" i="1" s="1"/>
  <c r="D11" i="1"/>
  <c r="E11" i="1" s="1"/>
  <c r="D10" i="1"/>
  <c r="E10" i="1" s="1"/>
  <c r="D9" i="1"/>
  <c r="E9" i="1" s="1"/>
  <c r="C6" i="1"/>
  <c r="D6" i="1" s="1"/>
  <c r="E6" i="1" s="1"/>
  <c r="B88" i="1"/>
  <c r="B119" i="1"/>
  <c r="C110" i="1"/>
  <c r="B110" i="1"/>
  <c r="C103" i="1"/>
  <c r="B103" i="1"/>
  <c r="C97" i="1"/>
  <c r="B97" i="1"/>
  <c r="C83" i="1"/>
  <c r="B83" i="1"/>
  <c r="C71" i="1"/>
  <c r="B71" i="1"/>
  <c r="B32" i="1"/>
  <c r="B38" i="1" s="1"/>
  <c r="B13" i="1"/>
  <c r="B16" i="1" s="1"/>
  <c r="E121" i="1" l="1"/>
  <c r="D137" i="1"/>
  <c r="E64" i="1"/>
  <c r="F134" i="1"/>
  <c r="E91" i="1"/>
  <c r="F135" i="1"/>
  <c r="E123" i="1"/>
  <c r="D138" i="1"/>
  <c r="E117" i="1"/>
  <c r="F138" i="1"/>
  <c r="E94" i="1"/>
  <c r="F137" i="1"/>
  <c r="E93" i="1"/>
  <c r="F136" i="1"/>
  <c r="C125" i="1"/>
  <c r="C136" i="1" s="1"/>
  <c r="C139" i="1" s="1"/>
  <c r="B125" i="1"/>
  <c r="B136" i="1" s="1"/>
  <c r="B139" i="1" s="1"/>
  <c r="D119" i="1"/>
  <c r="E119" i="1" s="1"/>
  <c r="D71" i="1"/>
  <c r="E71" i="1" s="1"/>
  <c r="D88" i="1"/>
  <c r="E88" i="1" s="1"/>
  <c r="D110" i="1"/>
  <c r="E110" i="1" s="1"/>
  <c r="D30" i="1"/>
  <c r="E30" i="1" s="1"/>
  <c r="D13" i="3"/>
  <c r="D15" i="3" s="1"/>
  <c r="C50" i="1"/>
  <c r="C52" i="1" s="1"/>
  <c r="D48" i="1"/>
  <c r="E48" i="1" s="1"/>
  <c r="D103" i="1"/>
  <c r="E103" i="1" s="1"/>
  <c r="D97" i="1"/>
  <c r="E97" i="1" s="1"/>
  <c r="B50" i="1"/>
  <c r="D83" i="1"/>
  <c r="E83" i="1" s="1"/>
  <c r="D38" i="1"/>
  <c r="E38" i="1" s="1"/>
  <c r="D16" i="1"/>
  <c r="E16" i="1" s="1"/>
  <c r="D13" i="1"/>
  <c r="E13" i="1" s="1"/>
  <c r="D32" i="1"/>
  <c r="E32" i="1" s="1"/>
  <c r="F139" i="1" l="1"/>
  <c r="C127" i="1"/>
  <c r="D125" i="1"/>
  <c r="D136" i="1" s="1"/>
  <c r="D139" i="1" s="1"/>
  <c r="E139" i="1" s="1"/>
  <c r="D50" i="1"/>
  <c r="D130" i="1" l="1"/>
  <c r="E50" i="1"/>
  <c r="D132" i="1"/>
  <c r="E125" i="1"/>
  <c r="B28" i="2"/>
  <c r="B33" i="2" s="1"/>
  <c r="B53" i="2" s="1"/>
  <c r="D28" i="2"/>
  <c r="D33" i="2" s="1"/>
  <c r="D53" i="2" s="1"/>
  <c r="C28" i="2"/>
  <c r="C33" i="2" s="1"/>
  <c r="C53" i="2" s="1"/>
  <c r="D134" i="1" l="1"/>
  <c r="F132" i="1"/>
  <c r="F140" i="1" s="1"/>
</calcChain>
</file>

<file path=xl/sharedStrings.xml><?xml version="1.0" encoding="utf-8"?>
<sst xmlns="http://schemas.openxmlformats.org/spreadsheetml/2006/main" count="309" uniqueCount="290">
  <si>
    <t>G/F Undesignated Fund Balance</t>
  </si>
  <si>
    <t>Outside Detail (Police)</t>
  </si>
  <si>
    <t xml:space="preserve">Chapter 90 </t>
  </si>
  <si>
    <t>WPCF</t>
  </si>
  <si>
    <t>Airport</t>
  </si>
  <si>
    <t>General</t>
  </si>
  <si>
    <t>Fund</t>
  </si>
  <si>
    <t xml:space="preserve">Fund </t>
  </si>
  <si>
    <t>#001</t>
  </si>
  <si>
    <t>#661</t>
  </si>
  <si>
    <t>#600</t>
  </si>
  <si>
    <t>Close Out:</t>
  </si>
  <si>
    <t xml:space="preserve">   FY22 Res for Excluded Debt</t>
  </si>
  <si>
    <t xml:space="preserve">   FY22 Free Cash Vote</t>
  </si>
  <si>
    <t xml:space="preserve">   FY23 Encumbrances</t>
  </si>
  <si>
    <t xml:space="preserve">   FY23 FAA CARES Grant</t>
  </si>
  <si>
    <t xml:space="preserve">   FY23 Aviation Fuel Revolving</t>
  </si>
  <si>
    <t xml:space="preserve">   FY23 Res for PS Grant</t>
  </si>
  <si>
    <t xml:space="preserve">   FY23 Continuing Appropriations</t>
  </si>
  <si>
    <t xml:space="preserve">   FY23 Free Cash Vote</t>
  </si>
  <si>
    <t>Free Cash Calculation for 7/1/22</t>
  </si>
  <si>
    <t>Due From Ret</t>
  </si>
  <si>
    <t>Eversource Flail Lease</t>
  </si>
  <si>
    <t>VltGen</t>
  </si>
  <si>
    <t>Beacon</t>
  </si>
  <si>
    <t>John Deere</t>
  </si>
  <si>
    <t>Bldg Safety</t>
  </si>
  <si>
    <t>Undesignated Fund Balance July 1, 2021</t>
  </si>
  <si>
    <t>Close Out (add back) PY Fund Balance Reservations:</t>
  </si>
  <si>
    <t>Record/Subtract CY Fund Balance Reservations</t>
  </si>
  <si>
    <t xml:space="preserve">   FY22 Continuing Appropriations/Special Articles/Grants</t>
  </si>
  <si>
    <t>#60 Airport CPF grants</t>
  </si>
  <si>
    <t>Revenue Estimates for FY2022</t>
  </si>
  <si>
    <t>FY2022</t>
  </si>
  <si>
    <t>Actual</t>
  </si>
  <si>
    <t>Budget</t>
  </si>
  <si>
    <t xml:space="preserve">State Aid </t>
  </si>
  <si>
    <t>Unrestricted Aid</t>
  </si>
  <si>
    <t>Veterans' Benefits</t>
  </si>
  <si>
    <t>Exemptions V/B/SS/Eld</t>
  </si>
  <si>
    <t>State Owned Land</t>
  </si>
  <si>
    <t>Subtotal Cherry Sheet</t>
  </si>
  <si>
    <t>Less State Charges</t>
  </si>
  <si>
    <t>Net State Revenue</t>
  </si>
  <si>
    <t>Local Receipts</t>
  </si>
  <si>
    <t>Motor Vehicle Excise</t>
  </si>
  <si>
    <t>Other Excise</t>
  </si>
  <si>
    <t>Meals Tax</t>
  </si>
  <si>
    <t>Penalties &amp; Interest</t>
  </si>
  <si>
    <t>PILOT</t>
  </si>
  <si>
    <t>Charges for Trash Disposal</t>
  </si>
  <si>
    <t>Rental - 50% of Kearsarge + other rents</t>
  </si>
  <si>
    <t>Other Charges for Service</t>
  </si>
  <si>
    <t>Licenses &amp; Permits</t>
  </si>
  <si>
    <t>Fines &amp; Forfeits</t>
  </si>
  <si>
    <t>Investment Income</t>
  </si>
  <si>
    <t>Miscellaneous Recurring</t>
  </si>
  <si>
    <t>Misc. Non-Recurring</t>
  </si>
  <si>
    <t>Total Local Receipts For AA</t>
  </si>
  <si>
    <t>Other Local Receipts</t>
  </si>
  <si>
    <t>FCTS SRO Reimb</t>
  </si>
  <si>
    <t>GMRSD SRO Reimb</t>
  </si>
  <si>
    <t>50% Kearsarge Lease</t>
  </si>
  <si>
    <t>Grand Total Local Receipts</t>
  </si>
  <si>
    <t>Capital Stabilization</t>
  </si>
  <si>
    <t>GMRSD Stabilization</t>
  </si>
  <si>
    <t>FCTS Stabilization</t>
  </si>
  <si>
    <t>Cannabis Impact Stabilization</t>
  </si>
  <si>
    <t>Transportation Infrastructure</t>
  </si>
  <si>
    <t>Grand Total General Revenue</t>
  </si>
  <si>
    <t>Sewer User Fees</t>
  </si>
  <si>
    <t>Airport User Fees</t>
  </si>
  <si>
    <t>Budgeted Levy From FY23 Budget File</t>
  </si>
  <si>
    <t>GENERAL GOVERNMENT</t>
  </si>
  <si>
    <t>TOWN MEETING</t>
  </si>
  <si>
    <t>SELECTBOARD</t>
  </si>
  <si>
    <t>FINANCE COMMITTEE</t>
  </si>
  <si>
    <t>TOWN ACCOUNTANT</t>
  </si>
  <si>
    <t>ASSESSORS</t>
  </si>
  <si>
    <t>TREASURER/COLLECTOR</t>
  </si>
  <si>
    <t>TOWN COUNSEL</t>
  </si>
  <si>
    <t>INFORMATION TECHNOLOGY</t>
  </si>
  <si>
    <t>SHARED COSTS</t>
  </si>
  <si>
    <t>TOWN CLERK</t>
  </si>
  <si>
    <t>PLANNING</t>
  </si>
  <si>
    <t>ZONING BOARD OF APPEALS</t>
  </si>
  <si>
    <t>MEDIC</t>
  </si>
  <si>
    <t>PUBLIC BLDG UTILITIES</t>
  </si>
  <si>
    <t>TOTAL GENERAL GOVERNMENT</t>
  </si>
  <si>
    <t>PUBLIC SAFETY</t>
  </si>
  <si>
    <t>POLICE</t>
  </si>
  <si>
    <t>POLICE CRUISER</t>
  </si>
  <si>
    <t>DISPATCH</t>
  </si>
  <si>
    <t>BUILDING INSPECTOR</t>
  </si>
  <si>
    <t xml:space="preserve">SEALER OF WEIGHTS </t>
  </si>
  <si>
    <t>EMERGENCY MANAGEMENT</t>
  </si>
  <si>
    <t>ANIMAL CONTROL</t>
  </si>
  <si>
    <t>FOREST WARDEN</t>
  </si>
  <si>
    <t>TREE WARDEN</t>
  </si>
  <si>
    <t>TOTAL PUBLIC SAFETY</t>
  </si>
  <si>
    <t>PUBLIC WORKS</t>
  </si>
  <si>
    <t>DEPT OF PUBLIC WORKS</t>
  </si>
  <si>
    <t>DPW CAPITAL LEASE</t>
  </si>
  <si>
    <t>SNOW &amp; ICE</t>
  </si>
  <si>
    <t>SOLID WASTE</t>
  </si>
  <si>
    <t>CHARGING STATIONS</t>
  </si>
  <si>
    <t>CEMETERIES</t>
  </si>
  <si>
    <t>TOTAL PUBLIC WORKS</t>
  </si>
  <si>
    <t>HUMAN SERVICES</t>
  </si>
  <si>
    <t>BOARD OF HEALTH</t>
  </si>
  <si>
    <t>COUNCIL ON AGING</t>
  </si>
  <si>
    <t>VETERANS' SERVICES</t>
  </si>
  <si>
    <t>TOTAL HUMAN SERVICES</t>
  </si>
  <si>
    <t>CULTURE &amp; RECREATION</t>
  </si>
  <si>
    <t>LIBRARIES</t>
  </si>
  <si>
    <t>PARKS &amp; RECREATION</t>
  </si>
  <si>
    <t>HISTORICAL COMMISSION</t>
  </si>
  <si>
    <t>WAR MEMORIALS</t>
  </si>
  <si>
    <t>TOTAL CULTURE &amp; RECREATION</t>
  </si>
  <si>
    <t>DEBT SERVICE</t>
  </si>
  <si>
    <t>INTERGOVERNMENTAL</t>
  </si>
  <si>
    <t>MISCELLANEOUS</t>
  </si>
  <si>
    <t>EMPLOYEE BENEFITS</t>
  </si>
  <si>
    <t>GENERAL INSURANCE</t>
  </si>
  <si>
    <t>TOTAL MISCELLANEOUS</t>
  </si>
  <si>
    <t>GRAND TOTAL GENERAL FUND</t>
  </si>
  <si>
    <t>DPW SUBSIDIARY</t>
  </si>
  <si>
    <t>AIRPORT</t>
  </si>
  <si>
    <t>AIRPORT DEBT</t>
  </si>
  <si>
    <t>AIRPORT EMPLOYEE BENEFITS</t>
  </si>
  <si>
    <t>TOTAL AIRPORT</t>
  </si>
  <si>
    <t>EDUCATION</t>
  </si>
  <si>
    <t>FCTS</t>
  </si>
  <si>
    <t>GMRSD</t>
  </si>
  <si>
    <t>TOTAL EDUCATION</t>
  </si>
  <si>
    <t>Variance</t>
  </si>
  <si>
    <t>Transfers In</t>
  </si>
  <si>
    <t>Total Transfers In</t>
  </si>
  <si>
    <t>From Special Revenue Funds</t>
  </si>
  <si>
    <t>From Enterprise Funds</t>
  </si>
  <si>
    <t xml:space="preserve">FY22 </t>
  </si>
  <si>
    <t>FY22</t>
  </si>
  <si>
    <t>EXPENDITURES</t>
  </si>
  <si>
    <t>RESERVE FUND/unused</t>
  </si>
  <si>
    <t>Special Articles (incl PY balances)</t>
  </si>
  <si>
    <t>Transfers out</t>
  </si>
  <si>
    <t>Exp shown as (rev)</t>
  </si>
  <si>
    <t>Total GF Exp</t>
  </si>
  <si>
    <t>Remove Exp</t>
  </si>
  <si>
    <t>Total GF Rev per GL</t>
  </si>
  <si>
    <t>CLEAN WATER FACILITY</t>
  </si>
  <si>
    <t>CWF CAPITAL OUTLAY</t>
  </si>
  <si>
    <t>CWF DEBT</t>
  </si>
  <si>
    <t>CWF EMPLOYEE BENEFITS</t>
  </si>
  <si>
    <t>CWF Revenues</t>
  </si>
  <si>
    <t>TOTAL CWF</t>
  </si>
  <si>
    <t>Total Gain</t>
  </si>
  <si>
    <t>Ties to 1st tab</t>
  </si>
  <si>
    <t>Rev in excess of budget</t>
  </si>
  <si>
    <t>Exp less than budget</t>
  </si>
  <si>
    <t>less Sp Art bal carried forward</t>
  </si>
  <si>
    <t>Free cash from Rev/Exp activity</t>
  </si>
  <si>
    <t>Analysis of Free Cash certified as of 7/1/22</t>
  </si>
  <si>
    <t>Questions raised by $2,469K certification:</t>
  </si>
  <si>
    <t xml:space="preserve">   FY22 Expenditures - see next tab</t>
  </si>
  <si>
    <t xml:space="preserve">   FY22 Revenue - see next tab</t>
  </si>
  <si>
    <t>At this point the net amount equals the total fund balance</t>
  </si>
  <si>
    <t xml:space="preserve">   FY23 Res for Excluded Debt</t>
  </si>
  <si>
    <t>Reduced by:</t>
  </si>
  <si>
    <t>6/30/22 Allowance for Abatements and Exemptions</t>
  </si>
  <si>
    <t>Less Deficits in other funds:</t>
  </si>
  <si>
    <t xml:space="preserve">Once you have the undesignated fund balance, that amount is reduced by </t>
  </si>
  <si>
    <t>Undeferred receivables and liability deficits</t>
  </si>
  <si>
    <t>Are we overtaxing?</t>
  </si>
  <si>
    <t>Are we overbudgeting?</t>
  </si>
  <si>
    <t>Are our estimated receipts too low?</t>
  </si>
  <si>
    <t>What are the main factors leading to the unusually high Free Cash?</t>
  </si>
  <si>
    <t>a</t>
  </si>
  <si>
    <t>b</t>
  </si>
  <si>
    <t>c</t>
  </si>
  <si>
    <t>d</t>
  </si>
  <si>
    <t>e</t>
  </si>
  <si>
    <t>f</t>
  </si>
  <si>
    <t>the Allowance for Abatements and Exemptions (aka overlay) - because that represents tax revenue we may not receive</t>
  </si>
  <si>
    <t>You begin with the general fund's undesignated fund balance. This is the beginning of the year total fund balance plus revenues minus expenditures minus fund balance reservations. These always include reservations  for continuing appropriations (special articles) and expenditures (Free Cash appropriated to use in the following budget year). Other requent fund balance reservations are for encumbrances and excluded debt.</t>
  </si>
  <si>
    <t xml:space="preserve"> Deficits in other funds (except for enterprise funds) for which revenue has not been received by 9/30 or the date of certification, whichever is earlier. These always include the police outside detail account, and there are usually more grant deficits, but because I waited to sumbit this year we received several payments that negated those deficits.</t>
  </si>
  <si>
    <t>DOR included Fuel Revolving Fund balance twice</t>
  </si>
  <si>
    <t>Calculated Free Cash/Retained Earnings</t>
  </si>
  <si>
    <t xml:space="preserve">Actual - variance due to rounding </t>
  </si>
  <si>
    <t>How is Free Cash/Retained Earnings calculated?</t>
  </si>
  <si>
    <t>By adding back the reservations, the net amount at this point equals the total fund balance at the beginning of the year. The amounts are shown here to help understand what makes up the total fund balance and show how much was actually "available"</t>
  </si>
  <si>
    <t>End of Year Undesignated Fund Balance Calculation</t>
  </si>
  <si>
    <t>Deficit in Other Liabilities (Kearsarge recd Jul, to depts FY22)</t>
  </si>
  <si>
    <t>O/S AR variance per DOR-slighlty different from mine</t>
  </si>
  <si>
    <t>Per DOR due from district - different from mine</t>
  </si>
  <si>
    <t>Most of this variance is from the PY PP payments, with another chunk related to the tax lien revenue. Given the large amount of PY PP payments, the budget was not unreasonable</t>
  </si>
  <si>
    <t>The actuals were within 6K of PY. This account is generally budgeted a little conservatively to provide some wiggle room.</t>
  </si>
  <si>
    <t>The bulk of this was building permits, which came in at over twice the 60K budget. The budget was based on the lowest of PY actuals with an expectation that the pandemic would still potentially flatten building growth</t>
  </si>
  <si>
    <t>Dispatch grant to offset GF exp, 10K from Sale Cemetery Lots, Trans Infrastructure</t>
  </si>
  <si>
    <t>COVID wage reimb, mostly PY rev (CARES &amp; Cannabis reimb) and PY exp reimbursements</t>
  </si>
  <si>
    <t>% variance</t>
  </si>
  <si>
    <t>no longer getting boat excise</t>
  </si>
  <si>
    <t>New consultant at much lower cost, not much equipment replacement</t>
  </si>
  <si>
    <t>The reason the budget was reduced for FY23</t>
  </si>
  <si>
    <t>Budget is always at least equal to PY budget to provide eligibility for state emerg assistance</t>
  </si>
  <si>
    <t>Dept has been working to keep costs down</t>
  </si>
  <si>
    <t>This is always a bit of a crap shoot</t>
  </si>
  <si>
    <t>Balance represents ST interest not used</t>
  </si>
  <si>
    <t>IT</t>
  </si>
  <si>
    <t>DPW</t>
  </si>
  <si>
    <t>Snow &amp; Ice</t>
  </si>
  <si>
    <t>Solid Waste</t>
  </si>
  <si>
    <t>New contract year, so conservative budgeting</t>
  </si>
  <si>
    <t>Employee Benefits</t>
  </si>
  <si>
    <t>Total of these departments</t>
  </si>
  <si>
    <t>% of total unexpended</t>
  </si>
  <si>
    <t>This is always conservatively estimated, but I don't think anyone expected this amount of actual revenues. The most recent (FY21) amount available when budgeting FY22 receipts was $785K, so the actual is a 23% increase over the PY. Even if we could have foreseen this, there's no way DOR would have accepted an estimate this high.</t>
  </si>
  <si>
    <t>Huge payments of prior year personal property taxes and accompanying fees, the 23% increase in MV excise, unexpectedly high building permit revenue, underspent public works budgets, and underspent employee benefits.</t>
  </si>
  <si>
    <t>Yes. Although we still need to budget conservatively and some of the revenues were beyond reasonable anticipation, this will be adjusted going forward.</t>
  </si>
  <si>
    <t>At its simplest, Free Cash is the amount of the prior year's revenues less expenses and reservations.</t>
  </si>
  <si>
    <t>unexpended operating budget (excludes special articles)</t>
  </si>
  <si>
    <t>Total Exp</t>
  </si>
  <si>
    <t>Less Sp Art</t>
  </si>
  <si>
    <t>Less Transfers</t>
  </si>
  <si>
    <t>Operating Exp</t>
  </si>
  <si>
    <t>While extra is always budgeted in case of enrollment changes, this was budgeted more accurately for FY23</t>
  </si>
  <si>
    <t>Town of Montague</t>
  </si>
  <si>
    <t>General Fund Balance Sheet</t>
  </si>
  <si>
    <t>Year Ended June 30, 2022</t>
  </si>
  <si>
    <t>Assets</t>
  </si>
  <si>
    <t>Liabilities</t>
  </si>
  <si>
    <t>Cash</t>
  </si>
  <si>
    <t>Warrants Payable</t>
  </si>
  <si>
    <t>Petty Cash</t>
  </si>
  <si>
    <t>Accrued Payroll</t>
  </si>
  <si>
    <t>Receivables:</t>
  </si>
  <si>
    <t>Payments Rec'd in Advance</t>
  </si>
  <si>
    <t xml:space="preserve">     Personal Property</t>
  </si>
  <si>
    <t>Withholdings Payable</t>
  </si>
  <si>
    <t xml:space="preserve">     Real Estate</t>
  </si>
  <si>
    <t>June Health Ins Liability</t>
  </si>
  <si>
    <t xml:space="preserve">     Motor Vehicle Excise</t>
  </si>
  <si>
    <t>Due To Other Funds</t>
  </si>
  <si>
    <t xml:space="preserve">     Boat Excise</t>
  </si>
  <si>
    <t>Due To Other Govts</t>
  </si>
  <si>
    <t xml:space="preserve">     I &amp; E Liens</t>
  </si>
  <si>
    <t xml:space="preserve">     BOH Liens</t>
  </si>
  <si>
    <t>Due To Districts</t>
  </si>
  <si>
    <t xml:space="preserve">     Tax Liens - Montague</t>
  </si>
  <si>
    <t>Other Liabilities</t>
  </si>
  <si>
    <t xml:space="preserve">     Tax Foreclosures - Montague</t>
  </si>
  <si>
    <t>Deferred Revenue:</t>
  </si>
  <si>
    <t xml:space="preserve">     Departmental</t>
  </si>
  <si>
    <t xml:space="preserve">     Allowance for Abatements</t>
  </si>
  <si>
    <t>Tax Liens - Districts</t>
  </si>
  <si>
    <t>Tax Foreclosures - Districts</t>
  </si>
  <si>
    <t xml:space="preserve">     Other Liens</t>
  </si>
  <si>
    <t xml:space="preserve">     Tax Liens</t>
  </si>
  <si>
    <t>Due from State</t>
  </si>
  <si>
    <t xml:space="preserve">     Tax Foreclosures</t>
  </si>
  <si>
    <t>Due From Other</t>
  </si>
  <si>
    <t>Due From Other Funds</t>
  </si>
  <si>
    <t>Bond Anticipation Note</t>
  </si>
  <si>
    <t>Prepaid Expenses</t>
  </si>
  <si>
    <t>Total Liabilities</t>
  </si>
  <si>
    <t>Fund Balance</t>
  </si>
  <si>
    <t>Reserved For Encumbrances</t>
  </si>
  <si>
    <t>Reserved For Continuing Approp.</t>
  </si>
  <si>
    <t>Reserved For Expenditures</t>
  </si>
  <si>
    <t xml:space="preserve">Reserved For Excluded Debt </t>
  </si>
  <si>
    <t>Undesignated Fund Balance</t>
  </si>
  <si>
    <t>Total Fund Balance</t>
  </si>
  <si>
    <t>Total Assets</t>
  </si>
  <si>
    <t>Total Liabilities and Fund Balance</t>
  </si>
  <si>
    <t>You could make the argument for this, and certainly to the extent that estimated receipts should be increased to some degree, but we should be aware that some of the FY23 Free Cash sources would have been very difficult to predict. Note that our policy is to strive for Free Cash equal to 3% of PYGOR. For FY23 the "planned" Free Cash would be $674K.</t>
  </si>
  <si>
    <t>Possibly in employee benefits (adj for in FY23), but the only other really large amount is the DPW, and while the amount seems large, it doesn't take much to need that much for something.</t>
  </si>
  <si>
    <t>Deficit in Aflac WH (later fixed)</t>
  </si>
  <si>
    <t>Ending Balance June 30, 2022</t>
  </si>
  <si>
    <t>Eversource paid a lot of back PP taxes.</t>
  </si>
  <si>
    <t>Note RE at end of FY22 was 38,946</t>
  </si>
  <si>
    <t>Budgeted surplus was 68,172</t>
  </si>
  <si>
    <t>108K of this was septage fees - started accepting more mid-year.</t>
  </si>
  <si>
    <t>Another 84K was from PY bills paid late</t>
  </si>
  <si>
    <t>Short Explanation</t>
  </si>
  <si>
    <t>Long Explanation</t>
  </si>
  <si>
    <t>Eversource - see above</t>
  </si>
  <si>
    <t>Incr beyond all reasonable expectation</t>
  </si>
  <si>
    <t>Deliberately under budgeted</t>
  </si>
  <si>
    <t>Lots and lots of building permits</t>
  </si>
  <si>
    <t>PY reimbursements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</si>
</sst>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10" x14ac:knownFonts="1">
    <font>
      <sz val="11"/>
      <color theme="1"/>
      <name val="Calibri"/>
      <family val="2"/>
      <scheme val="minor"/>
    </font>
    <font>
      <sz val="11"/>
      <color theme="1"/>
      <name val="Calibri"/>
      <family val="2"/>
      <scheme val="minor"/>
    </font>
    <font>
      <sz val="11"/>
      <name val="Calibri"/>
      <family val="2"/>
      <scheme val="minor"/>
    </font>
    <font>
      <sz val="12"/>
      <name val="Arial"/>
      <family val="2"/>
    </font>
    <font>
      <b/>
      <sz val="11"/>
      <color theme="1"/>
      <name val="Calibri"/>
      <family val="2"/>
      <scheme val="minor"/>
    </font>
    <font>
      <b/>
      <u/>
      <sz val="11"/>
      <color theme="1"/>
      <name val="Calibri"/>
      <family val="2"/>
      <scheme val="minor"/>
    </font>
    <font>
      <b/>
      <sz val="11"/>
      <name val="Calibri"/>
      <family val="2"/>
      <scheme val="minor"/>
    </font>
    <font>
      <sz val="10"/>
      <name val="Arial"/>
      <family val="2"/>
    </font>
    <font>
      <b/>
      <sz val="10"/>
      <name val="Arial"/>
      <family val="2"/>
    </font>
    <font>
      <sz val="10"/>
      <color indexed="10"/>
      <name val="Arial"/>
      <family val="2"/>
    </font>
  </fonts>
  <fills count="7">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43" fontId="0" fillId="0" borderId="0" xfId="1" applyFont="1"/>
    <xf numFmtId="43" fontId="0" fillId="0" borderId="1" xfId="1" applyFont="1" applyBorder="1"/>
    <xf numFmtId="43" fontId="0" fillId="0" borderId="0" xfId="1" applyFont="1" applyAlignment="1">
      <alignment horizontal="center"/>
    </xf>
    <xf numFmtId="43" fontId="0" fillId="0" borderId="0" xfId="1" applyFont="1" applyFill="1"/>
    <xf numFmtId="0" fontId="1" fillId="0" borderId="0" xfId="0" applyFont="1"/>
    <xf numFmtId="43" fontId="2" fillId="0" borderId="0" xfId="1" applyFont="1" applyFill="1"/>
    <xf numFmtId="43" fontId="2" fillId="0" borderId="0" xfId="1" applyFont="1"/>
    <xf numFmtId="0" fontId="2" fillId="0" borderId="0" xfId="0" applyFont="1"/>
    <xf numFmtId="43" fontId="2" fillId="0" borderId="0" xfId="0" applyNumberFormat="1" applyFont="1"/>
    <xf numFmtId="43" fontId="0" fillId="0" borderId="3" xfId="1" applyFont="1" applyBorder="1"/>
    <xf numFmtId="0" fontId="0" fillId="0" borderId="3" xfId="0" applyBorder="1"/>
    <xf numFmtId="43" fontId="0" fillId="0" borderId="0" xfId="0" applyNumberFormat="1"/>
    <xf numFmtId="4" fontId="0" fillId="0" borderId="0" xfId="0" applyNumberFormat="1"/>
    <xf numFmtId="0" fontId="0" fillId="0" borderId="0" xfId="0" applyAlignment="1">
      <alignment horizontal="center"/>
    </xf>
    <xf numFmtId="43" fontId="0" fillId="0" borderId="2" xfId="0" applyNumberFormat="1" applyBorder="1"/>
    <xf numFmtId="41" fontId="2" fillId="0" borderId="0" xfId="0" applyNumberFormat="1" applyFont="1"/>
    <xf numFmtId="43" fontId="0" fillId="2" borderId="0" xfId="1" applyFont="1" applyFill="1"/>
    <xf numFmtId="41" fontId="3" fillId="0" borderId="0" xfId="0" applyNumberFormat="1" applyFont="1"/>
    <xf numFmtId="0" fontId="5" fillId="0" borderId="0" xfId="0" applyFont="1"/>
    <xf numFmtId="0" fontId="0" fillId="0" borderId="4"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xf numFmtId="0" fontId="0" fillId="0" borderId="8" xfId="0" applyBorder="1" applyAlignment="1">
      <alignment horizontal="center"/>
    </xf>
    <xf numFmtId="43" fontId="0" fillId="0" borderId="0" xfId="1" applyFont="1" applyBorder="1"/>
    <xf numFmtId="43" fontId="4" fillId="0" borderId="0" xfId="1" applyFont="1" applyBorder="1"/>
    <xf numFmtId="43" fontId="0" fillId="0" borderId="8" xfId="1" applyFont="1" applyBorder="1"/>
    <xf numFmtId="0" fontId="2" fillId="0" borderId="7" xfId="0" applyFont="1" applyBorder="1"/>
    <xf numFmtId="0" fontId="2" fillId="0" borderId="9" xfId="0" applyFont="1" applyBorder="1"/>
    <xf numFmtId="43" fontId="0" fillId="0" borderId="2" xfId="1" applyFont="1" applyBorder="1"/>
    <xf numFmtId="43" fontId="0" fillId="0" borderId="10" xfId="1" applyFont="1" applyBorder="1"/>
    <xf numFmtId="0" fontId="0" fillId="0" borderId="2" xfId="0" applyBorder="1"/>
    <xf numFmtId="43" fontId="0" fillId="0" borderId="10" xfId="0" applyNumberFormat="1" applyBorder="1"/>
    <xf numFmtId="43" fontId="0" fillId="0" borderId="11" xfId="1" applyFont="1" applyBorder="1"/>
    <xf numFmtId="43" fontId="4" fillId="0" borderId="11" xfId="1" applyFont="1" applyBorder="1"/>
    <xf numFmtId="43" fontId="0" fillId="0" borderId="5" xfId="1" applyFont="1" applyBorder="1"/>
    <xf numFmtId="43" fontId="4" fillId="0" borderId="5" xfId="1" applyFont="1" applyBorder="1"/>
    <xf numFmtId="0" fontId="4" fillId="0" borderId="0" xfId="0" applyFont="1" applyAlignment="1">
      <alignment horizontal="center"/>
    </xf>
    <xf numFmtId="0" fontId="0" fillId="0" borderId="0" xfId="0" applyAlignment="1">
      <alignment wrapText="1"/>
    </xf>
    <xf numFmtId="43" fontId="0" fillId="0" borderId="0" xfId="1" applyFont="1" applyAlignment="1"/>
    <xf numFmtId="0" fontId="0" fillId="0" borderId="0" xfId="0" applyAlignment="1">
      <alignment vertical="top"/>
    </xf>
    <xf numFmtId="0" fontId="6" fillId="0" borderId="0" xfId="0" applyFont="1"/>
    <xf numFmtId="0" fontId="4" fillId="0" borderId="0" xfId="0" applyFont="1"/>
    <xf numFmtId="43" fontId="0" fillId="3" borderId="0" xfId="1" applyFont="1" applyFill="1"/>
    <xf numFmtId="43" fontId="4" fillId="3" borderId="0" xfId="1" applyFont="1" applyFill="1"/>
    <xf numFmtId="10" fontId="0" fillId="0" borderId="0" xfId="2" applyNumberFormat="1" applyFont="1"/>
    <xf numFmtId="43" fontId="0" fillId="3" borderId="2" xfId="1" applyFont="1" applyFill="1" applyBorder="1"/>
    <xf numFmtId="43" fontId="2" fillId="0" borderId="2" xfId="1" applyFont="1" applyBorder="1"/>
    <xf numFmtId="43" fontId="4" fillId="0" borderId="0" xfId="1" applyFont="1"/>
    <xf numFmtId="43" fontId="4" fillId="0" borderId="2" xfId="1" applyFont="1" applyBorder="1"/>
    <xf numFmtId="43" fontId="0" fillId="4" borderId="0" xfId="1" applyFont="1" applyFill="1"/>
    <xf numFmtId="0" fontId="7" fillId="0" borderId="0" xfId="0" applyFont="1" applyAlignment="1">
      <alignment horizontal="center"/>
    </xf>
    <xf numFmtId="0" fontId="8" fillId="0" borderId="0" xfId="0" applyFont="1" applyAlignment="1">
      <alignment horizontal="center"/>
    </xf>
    <xf numFmtId="43" fontId="7" fillId="0" borderId="0" xfId="1" applyFont="1" applyFill="1"/>
    <xf numFmtId="0" fontId="7" fillId="0" borderId="0" xfId="0" applyFont="1"/>
    <xf numFmtId="43" fontId="7" fillId="0" borderId="0" xfId="1" applyFont="1" applyFill="1" applyBorder="1"/>
    <xf numFmtId="43" fontId="7" fillId="5" borderId="0" xfId="1" applyFont="1" applyFill="1"/>
    <xf numFmtId="43" fontId="7" fillId="5" borderId="2" xfId="1" applyFont="1" applyFill="1" applyBorder="1"/>
    <xf numFmtId="0" fontId="0" fillId="5" borderId="0" xfId="0" applyFill="1"/>
    <xf numFmtId="0" fontId="7" fillId="5" borderId="0" xfId="0" applyFont="1" applyFill="1"/>
    <xf numFmtId="43" fontId="7" fillId="6" borderId="0" xfId="1" applyFont="1" applyFill="1"/>
    <xf numFmtId="43" fontId="7" fillId="6" borderId="0" xfId="1" applyFont="1" applyFill="1" applyBorder="1"/>
    <xf numFmtId="43" fontId="7" fillId="6" borderId="2" xfId="1" applyFont="1" applyFill="1" applyBorder="1"/>
    <xf numFmtId="0" fontId="0" fillId="6" borderId="0" xfId="0" applyFill="1"/>
    <xf numFmtId="43" fontId="7" fillId="0" borderId="0" xfId="1" applyFont="1"/>
    <xf numFmtId="43" fontId="7" fillId="0" borderId="2" xfId="1" applyFont="1" applyBorder="1"/>
    <xf numFmtId="43" fontId="9" fillId="0" borderId="0" xfId="1" applyFont="1"/>
    <xf numFmtId="43" fontId="0" fillId="0" borderId="0" xfId="1" applyFont="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328EA-814E-46CC-BACF-FA07A68C3C02}">
  <dimension ref="A1:C21"/>
  <sheetViews>
    <sheetView topLeftCell="A7" workbookViewId="0">
      <selection activeCell="C7" sqref="C7"/>
    </sheetView>
  </sheetViews>
  <sheetFormatPr defaultRowHeight="14.4" x14ac:dyDescent="0.3"/>
  <cols>
    <col min="1" max="2" width="2.88671875" customWidth="1"/>
    <col min="3" max="3" width="80.33203125" customWidth="1"/>
  </cols>
  <sheetData>
    <row r="1" spans="1:3" x14ac:dyDescent="0.3">
      <c r="C1" s="38" t="s">
        <v>162</v>
      </c>
    </row>
    <row r="3" spans="1:3" x14ac:dyDescent="0.3">
      <c r="A3" t="s">
        <v>163</v>
      </c>
    </row>
    <row r="4" spans="1:3" x14ac:dyDescent="0.3">
      <c r="A4">
        <v>1</v>
      </c>
      <c r="B4" t="s">
        <v>173</v>
      </c>
    </row>
    <row r="5" spans="1:3" ht="57.6" x14ac:dyDescent="0.3">
      <c r="C5" s="39" t="s">
        <v>274</v>
      </c>
    </row>
    <row r="6" spans="1:3" x14ac:dyDescent="0.3">
      <c r="A6">
        <v>2</v>
      </c>
      <c r="B6" t="s">
        <v>174</v>
      </c>
    </row>
    <row r="7" spans="1:3" ht="29.4" customHeight="1" x14ac:dyDescent="0.3">
      <c r="C7" s="39" t="s">
        <v>275</v>
      </c>
    </row>
    <row r="8" spans="1:3" x14ac:dyDescent="0.3">
      <c r="A8">
        <v>3</v>
      </c>
      <c r="B8" t="s">
        <v>175</v>
      </c>
    </row>
    <row r="9" spans="1:3" ht="28.8" x14ac:dyDescent="0.3">
      <c r="C9" s="39" t="s">
        <v>218</v>
      </c>
    </row>
    <row r="10" spans="1:3" x14ac:dyDescent="0.3">
      <c r="A10">
        <v>4</v>
      </c>
      <c r="B10" t="s">
        <v>176</v>
      </c>
    </row>
    <row r="11" spans="1:3" ht="44.4" customHeight="1" x14ac:dyDescent="0.3">
      <c r="C11" s="39" t="s">
        <v>217</v>
      </c>
    </row>
    <row r="12" spans="1:3" x14ac:dyDescent="0.3">
      <c r="A12">
        <v>5</v>
      </c>
      <c r="B12" t="s">
        <v>189</v>
      </c>
    </row>
    <row r="13" spans="1:3" x14ac:dyDescent="0.3">
      <c r="B13" t="s">
        <v>177</v>
      </c>
      <c r="C13" t="s">
        <v>219</v>
      </c>
    </row>
    <row r="14" spans="1:3" ht="72" x14ac:dyDescent="0.3">
      <c r="B14" s="41" t="s">
        <v>178</v>
      </c>
      <c r="C14" s="39" t="s">
        <v>184</v>
      </c>
    </row>
    <row r="15" spans="1:3" x14ac:dyDescent="0.3">
      <c r="B15" s="41" t="s">
        <v>179</v>
      </c>
      <c r="C15" t="s">
        <v>171</v>
      </c>
    </row>
    <row r="16" spans="1:3" ht="28.8" x14ac:dyDescent="0.3">
      <c r="B16" s="41" t="s">
        <v>180</v>
      </c>
      <c r="C16" s="39" t="s">
        <v>183</v>
      </c>
    </row>
    <row r="17" spans="2:3" x14ac:dyDescent="0.3">
      <c r="B17" s="41" t="s">
        <v>181</v>
      </c>
      <c r="C17" s="40" t="s">
        <v>172</v>
      </c>
    </row>
    <row r="18" spans="2:3" ht="57.6" x14ac:dyDescent="0.3">
      <c r="B18" s="41" t="s">
        <v>182</v>
      </c>
      <c r="C18" s="39" t="s">
        <v>185</v>
      </c>
    </row>
    <row r="19" spans="2:3" x14ac:dyDescent="0.3">
      <c r="C19" s="13"/>
    </row>
    <row r="20" spans="2:3" x14ac:dyDescent="0.3">
      <c r="B20" s="41"/>
      <c r="C20" s="12"/>
    </row>
    <row r="21" spans="2:3" x14ac:dyDescent="0.3">
      <c r="B21" s="4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2DFC-7825-4A2E-9690-3CF92F7D32EF}">
  <dimension ref="A1:G40"/>
  <sheetViews>
    <sheetView topLeftCell="A6" workbookViewId="0">
      <selection activeCell="K21" sqref="K21"/>
    </sheetView>
  </sheetViews>
  <sheetFormatPr defaultRowHeight="14.4" x14ac:dyDescent="0.3"/>
  <cols>
    <col min="1" max="1" width="28.77734375" customWidth="1"/>
    <col min="2" max="2" width="14.88671875" style="1" customWidth="1"/>
    <col min="3" max="3" width="15.6640625" style="1" customWidth="1"/>
    <col min="4" max="4" width="3" customWidth="1"/>
    <col min="5" max="5" width="24.21875" customWidth="1"/>
    <col min="6" max="6" width="12" style="1" customWidth="1"/>
    <col min="7" max="7" width="14.5546875" style="1" customWidth="1"/>
  </cols>
  <sheetData>
    <row r="1" spans="1:7" x14ac:dyDescent="0.3">
      <c r="D1" s="14" t="s">
        <v>226</v>
      </c>
    </row>
    <row r="2" spans="1:7" x14ac:dyDescent="0.3">
      <c r="D2" s="14" t="s">
        <v>227</v>
      </c>
    </row>
    <row r="3" spans="1:7" x14ac:dyDescent="0.3">
      <c r="D3" s="52" t="s">
        <v>228</v>
      </c>
    </row>
    <row r="4" spans="1:7" x14ac:dyDescent="0.3">
      <c r="D4" s="14"/>
    </row>
    <row r="5" spans="1:7" x14ac:dyDescent="0.3">
      <c r="D5" s="14"/>
    </row>
    <row r="6" spans="1:7" x14ac:dyDescent="0.3">
      <c r="A6" s="53" t="s">
        <v>229</v>
      </c>
      <c r="E6" s="53" t="s">
        <v>230</v>
      </c>
    </row>
    <row r="8" spans="1:7" x14ac:dyDescent="0.3">
      <c r="A8" t="s">
        <v>231</v>
      </c>
      <c r="B8" s="54"/>
      <c r="C8" s="54">
        <v>5553792.6799999997</v>
      </c>
      <c r="E8" t="s">
        <v>232</v>
      </c>
      <c r="F8" s="67"/>
      <c r="G8" s="65">
        <v>530266</v>
      </c>
    </row>
    <row r="9" spans="1:7" x14ac:dyDescent="0.3">
      <c r="A9" t="s">
        <v>233</v>
      </c>
      <c r="B9" s="54"/>
      <c r="C9" s="54">
        <f>200+125+150</f>
        <v>475</v>
      </c>
      <c r="E9" t="s">
        <v>234</v>
      </c>
      <c r="F9" s="67"/>
      <c r="G9" s="65">
        <v>69391.490000000005</v>
      </c>
    </row>
    <row r="10" spans="1:7" x14ac:dyDescent="0.3">
      <c r="A10" t="s">
        <v>235</v>
      </c>
      <c r="B10" s="54"/>
      <c r="C10" s="54"/>
      <c r="E10" t="s">
        <v>236</v>
      </c>
      <c r="F10" s="67"/>
      <c r="G10" s="65"/>
    </row>
    <row r="11" spans="1:7" x14ac:dyDescent="0.3">
      <c r="A11" t="s">
        <v>237</v>
      </c>
      <c r="B11" s="57">
        <v>188475.27</v>
      </c>
      <c r="C11" s="57"/>
      <c r="E11" t="s">
        <v>238</v>
      </c>
      <c r="F11" s="67"/>
      <c r="G11" s="65">
        <v>28912.799999999999</v>
      </c>
    </row>
    <row r="12" spans="1:7" x14ac:dyDescent="0.3">
      <c r="A12" t="s">
        <v>239</v>
      </c>
      <c r="B12" s="57">
        <v>516089.47</v>
      </c>
      <c r="C12" s="57"/>
      <c r="E12" s="55" t="s">
        <v>240</v>
      </c>
      <c r="F12" s="67"/>
      <c r="G12" s="65">
        <v>50655.44</v>
      </c>
    </row>
    <row r="13" spans="1:7" x14ac:dyDescent="0.3">
      <c r="A13" t="s">
        <v>241</v>
      </c>
      <c r="B13" s="57">
        <v>150326.9</v>
      </c>
      <c r="C13" s="57"/>
      <c r="E13" s="55" t="s">
        <v>242</v>
      </c>
      <c r="F13" s="65"/>
      <c r="G13" s="65">
        <v>1565.83</v>
      </c>
    </row>
    <row r="14" spans="1:7" x14ac:dyDescent="0.3">
      <c r="A14" t="s">
        <v>243</v>
      </c>
      <c r="B14" s="57">
        <v>1248</v>
      </c>
      <c r="C14" s="57"/>
      <c r="E14" s="55" t="s">
        <v>244</v>
      </c>
      <c r="F14" s="65"/>
      <c r="G14" s="65">
        <v>2600</v>
      </c>
    </row>
    <row r="15" spans="1:7" x14ac:dyDescent="0.3">
      <c r="A15" t="s">
        <v>245</v>
      </c>
      <c r="B15" s="57"/>
      <c r="C15" s="57"/>
      <c r="E15" s="55"/>
      <c r="F15" s="65"/>
      <c r="G15" s="65"/>
    </row>
    <row r="16" spans="1:7" x14ac:dyDescent="0.3">
      <c r="A16" s="55" t="s">
        <v>246</v>
      </c>
      <c r="B16" s="57"/>
      <c r="C16" s="57"/>
      <c r="E16" s="64" t="s">
        <v>247</v>
      </c>
      <c r="F16" s="61"/>
      <c r="G16" s="61">
        <v>107711.78</v>
      </c>
    </row>
    <row r="17" spans="1:7" x14ac:dyDescent="0.3">
      <c r="A17" t="s">
        <v>248</v>
      </c>
      <c r="B17" s="57">
        <v>297145.58</v>
      </c>
      <c r="C17" s="57"/>
      <c r="E17" t="s">
        <v>249</v>
      </c>
      <c r="F17" s="65"/>
      <c r="G17" s="65">
        <v>-2268.64</v>
      </c>
    </row>
    <row r="18" spans="1:7" x14ac:dyDescent="0.3">
      <c r="A18" t="s">
        <v>250</v>
      </c>
      <c r="B18" s="57">
        <v>329660.53999999998</v>
      </c>
      <c r="C18" s="57"/>
      <c r="E18" t="s">
        <v>251</v>
      </c>
      <c r="F18" s="65"/>
      <c r="G18" s="65"/>
    </row>
    <row r="19" spans="1:7" x14ac:dyDescent="0.3">
      <c r="A19" t="s">
        <v>252</v>
      </c>
      <c r="B19" s="57">
        <v>985.4</v>
      </c>
      <c r="C19" s="57"/>
      <c r="E19" s="59" t="s">
        <v>237</v>
      </c>
      <c r="F19" s="57">
        <v>188475.27</v>
      </c>
      <c r="G19" s="57"/>
    </row>
    <row r="20" spans="1:7" x14ac:dyDescent="0.3">
      <c r="A20" t="s">
        <v>253</v>
      </c>
      <c r="B20" s="58">
        <v>-759624.65</v>
      </c>
      <c r="C20" s="57">
        <f>SUM(B11:B20)</f>
        <v>724306.50999999989</v>
      </c>
      <c r="E20" s="59" t="s">
        <v>239</v>
      </c>
      <c r="F20" s="57">
        <v>-243535.18</v>
      </c>
      <c r="G20" s="57"/>
    </row>
    <row r="21" spans="1:7" x14ac:dyDescent="0.3">
      <c r="C21" s="54"/>
      <c r="E21" s="59" t="s">
        <v>241</v>
      </c>
      <c r="F21" s="57">
        <v>150326.9</v>
      </c>
      <c r="G21" s="57"/>
    </row>
    <row r="22" spans="1:7" x14ac:dyDescent="0.3">
      <c r="A22" t="s">
        <v>254</v>
      </c>
      <c r="B22" s="61">
        <v>52642.63</v>
      </c>
      <c r="C22" s="62"/>
      <c r="E22" s="59" t="s">
        <v>243</v>
      </c>
      <c r="F22" s="57">
        <v>1248</v>
      </c>
      <c r="G22" s="57"/>
    </row>
    <row r="23" spans="1:7" x14ac:dyDescent="0.3">
      <c r="A23" t="s">
        <v>255</v>
      </c>
      <c r="B23" s="63">
        <v>54372.9</v>
      </c>
      <c r="C23" s="62">
        <f>SUM(B22:B23)</f>
        <v>107015.53</v>
      </c>
      <c r="E23" s="60" t="s">
        <v>256</v>
      </c>
      <c r="F23" s="57"/>
      <c r="G23" s="57"/>
    </row>
    <row r="24" spans="1:7" x14ac:dyDescent="0.3">
      <c r="B24" s="56"/>
      <c r="C24" s="56"/>
      <c r="E24" s="59" t="s">
        <v>257</v>
      </c>
      <c r="F24" s="57">
        <v>297145.58</v>
      </c>
      <c r="G24" s="57"/>
    </row>
    <row r="25" spans="1:7" x14ac:dyDescent="0.3">
      <c r="A25" t="s">
        <v>258</v>
      </c>
      <c r="B25" s="54"/>
      <c r="C25" s="54">
        <v>0</v>
      </c>
      <c r="E25" s="59" t="s">
        <v>259</v>
      </c>
      <c r="F25" s="57">
        <v>329660.53999999998</v>
      </c>
      <c r="G25" s="57"/>
    </row>
    <row r="26" spans="1:7" x14ac:dyDescent="0.3">
      <c r="A26" t="s">
        <v>260</v>
      </c>
      <c r="B26" s="54"/>
      <c r="C26" s="54">
        <v>3875.07</v>
      </c>
      <c r="E26" s="59" t="s">
        <v>252</v>
      </c>
      <c r="F26" s="58">
        <v>985.4</v>
      </c>
      <c r="G26" s="57">
        <f>SUM(F17:F26)</f>
        <v>724306.51</v>
      </c>
    </row>
    <row r="27" spans="1:7" x14ac:dyDescent="0.3">
      <c r="A27" t="s">
        <v>261</v>
      </c>
      <c r="B27" s="54"/>
      <c r="C27" s="54">
        <v>650.32000000000005</v>
      </c>
      <c r="E27" t="s">
        <v>262</v>
      </c>
      <c r="F27" s="65"/>
      <c r="G27" s="66"/>
    </row>
    <row r="28" spans="1:7" x14ac:dyDescent="0.3">
      <c r="A28" t="s">
        <v>263</v>
      </c>
      <c r="B28" s="54"/>
      <c r="C28" s="54"/>
      <c r="E28" s="14" t="s">
        <v>264</v>
      </c>
      <c r="G28" s="1">
        <f>SUM(G8:G27)</f>
        <v>1513141.21</v>
      </c>
    </row>
    <row r="29" spans="1:7" x14ac:dyDescent="0.3">
      <c r="B29" s="4"/>
      <c r="C29" s="4"/>
    </row>
    <row r="30" spans="1:7" x14ac:dyDescent="0.3">
      <c r="E30" s="53" t="s">
        <v>265</v>
      </c>
    </row>
    <row r="31" spans="1:7" x14ac:dyDescent="0.3">
      <c r="E31" s="53"/>
    </row>
    <row r="32" spans="1:7" x14ac:dyDescent="0.3">
      <c r="E32" t="s">
        <v>266</v>
      </c>
      <c r="G32" s="54">
        <v>28527.78</v>
      </c>
    </row>
    <row r="33" spans="1:7" x14ac:dyDescent="0.3">
      <c r="E33" t="s">
        <v>267</v>
      </c>
      <c r="G33" s="1">
        <v>1247171.96</v>
      </c>
    </row>
    <row r="34" spans="1:7" x14ac:dyDescent="0.3">
      <c r="E34" t="s">
        <v>268</v>
      </c>
      <c r="G34" s="65">
        <v>200000</v>
      </c>
    </row>
    <row r="35" spans="1:7" x14ac:dyDescent="0.3">
      <c r="E35" t="s">
        <v>269</v>
      </c>
      <c r="G35" s="54">
        <v>487.42</v>
      </c>
    </row>
    <row r="36" spans="1:7" x14ac:dyDescent="0.3">
      <c r="E36" t="s">
        <v>270</v>
      </c>
      <c r="G36" s="66">
        <v>3400786.74</v>
      </c>
    </row>
    <row r="37" spans="1:7" x14ac:dyDescent="0.3">
      <c r="E37" s="14" t="s">
        <v>271</v>
      </c>
      <c r="G37" s="1">
        <f>SUM(G31:G36)</f>
        <v>4876973.9000000004</v>
      </c>
    </row>
    <row r="39" spans="1:7" ht="15" thickBot="1" x14ac:dyDescent="0.35">
      <c r="A39" s="53" t="s">
        <v>272</v>
      </c>
      <c r="C39" s="34">
        <f>SUM(C8:C38)</f>
        <v>6390115.1100000003</v>
      </c>
      <c r="E39" s="53" t="s">
        <v>273</v>
      </c>
      <c r="G39" s="34">
        <f>G28+G37</f>
        <v>6390115.1100000003</v>
      </c>
    </row>
    <row r="40" spans="1:7" ht="15" thickTop="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B3DA-9C92-4DED-9F73-6ABDA3022701}">
  <dimension ref="A2:J56"/>
  <sheetViews>
    <sheetView workbookViewId="0">
      <pane ySplit="4" topLeftCell="A20" activePane="bottomLeft" state="frozen"/>
      <selection pane="bottomLeft" activeCell="A5" sqref="A5"/>
    </sheetView>
  </sheetViews>
  <sheetFormatPr defaultRowHeight="14.4" x14ac:dyDescent="0.3"/>
  <cols>
    <col min="1" max="1" width="49.6640625" customWidth="1"/>
    <col min="2" max="2" width="14.33203125" style="1" bestFit="1" customWidth="1"/>
    <col min="3" max="3" width="13.33203125" style="1" bestFit="1" customWidth="1"/>
    <col min="4" max="4" width="11.6640625" style="1" bestFit="1" customWidth="1"/>
    <col min="5" max="5" width="9" bestFit="1" customWidth="1"/>
    <col min="6" max="7" width="12.5546875" bestFit="1" customWidth="1"/>
    <col min="8" max="8" width="10.6640625" bestFit="1" customWidth="1"/>
  </cols>
  <sheetData>
    <row r="2" spans="1:8" x14ac:dyDescent="0.3">
      <c r="B2" s="3" t="s">
        <v>5</v>
      </c>
      <c r="C2" s="3" t="s">
        <v>3</v>
      </c>
      <c r="D2" s="3" t="s">
        <v>4</v>
      </c>
    </row>
    <row r="3" spans="1:8" x14ac:dyDescent="0.3">
      <c r="B3" s="3" t="s">
        <v>6</v>
      </c>
      <c r="C3" s="3" t="s">
        <v>6</v>
      </c>
      <c r="D3" s="3" t="s">
        <v>7</v>
      </c>
    </row>
    <row r="4" spans="1:8" x14ac:dyDescent="0.3">
      <c r="B4" s="3" t="s">
        <v>8</v>
      </c>
      <c r="C4" s="3" t="s">
        <v>9</v>
      </c>
      <c r="D4" s="3" t="s">
        <v>10</v>
      </c>
    </row>
    <row r="5" spans="1:8" x14ac:dyDescent="0.3">
      <c r="A5" s="43" t="s">
        <v>191</v>
      </c>
    </row>
    <row r="6" spans="1:8" x14ac:dyDescent="0.3">
      <c r="A6" t="s">
        <v>27</v>
      </c>
      <c r="B6" s="1">
        <v>2371907.88</v>
      </c>
      <c r="C6" s="1">
        <v>258246.36</v>
      </c>
      <c r="D6" s="1">
        <v>29376.52</v>
      </c>
    </row>
    <row r="8" spans="1:8" x14ac:dyDescent="0.3">
      <c r="A8" t="s">
        <v>28</v>
      </c>
    </row>
    <row r="9" spans="1:8" x14ac:dyDescent="0.3">
      <c r="A9" t="s">
        <v>12</v>
      </c>
      <c r="B9" s="1">
        <v>7719.12</v>
      </c>
    </row>
    <row r="10" spans="1:8" x14ac:dyDescent="0.3">
      <c r="A10" t="s">
        <v>30</v>
      </c>
      <c r="B10" s="1">
        <v>553543.44999999995</v>
      </c>
      <c r="C10" s="1">
        <v>466287.04</v>
      </c>
    </row>
    <row r="11" spans="1:8" x14ac:dyDescent="0.3">
      <c r="A11" t="s">
        <v>13</v>
      </c>
      <c r="B11" s="1">
        <v>283200</v>
      </c>
      <c r="C11" s="1">
        <v>180000</v>
      </c>
    </row>
    <row r="12" spans="1:8" ht="72" x14ac:dyDescent="0.3">
      <c r="A12" s="39" t="s">
        <v>190</v>
      </c>
      <c r="F12" s="12"/>
      <c r="G12" s="12"/>
      <c r="H12" s="12"/>
    </row>
    <row r="13" spans="1:8" x14ac:dyDescent="0.3">
      <c r="G13" s="12"/>
    </row>
    <row r="14" spans="1:8" x14ac:dyDescent="0.3">
      <c r="A14" t="s">
        <v>11</v>
      </c>
    </row>
    <row r="15" spans="1:8" x14ac:dyDescent="0.3">
      <c r="A15" t="s">
        <v>165</v>
      </c>
      <c r="B15" s="1">
        <v>26117361.799999997</v>
      </c>
      <c r="C15" s="1">
        <v>2809809.71</v>
      </c>
      <c r="D15" s="1">
        <v>299027.05</v>
      </c>
    </row>
    <row r="16" spans="1:8" x14ac:dyDescent="0.3">
      <c r="A16" t="s">
        <v>164</v>
      </c>
      <c r="B16" s="1">
        <v>-24456758.350000001</v>
      </c>
      <c r="C16" s="1">
        <v>-3023832.01</v>
      </c>
      <c r="D16" s="1">
        <v>-359424.75999999995</v>
      </c>
    </row>
    <row r="17" spans="1:5" x14ac:dyDescent="0.3">
      <c r="A17" t="s">
        <v>166</v>
      </c>
    </row>
    <row r="19" spans="1:5" x14ac:dyDescent="0.3">
      <c r="A19" t="s">
        <v>29</v>
      </c>
    </row>
    <row r="20" spans="1:5" x14ac:dyDescent="0.3">
      <c r="A20" t="s">
        <v>14</v>
      </c>
      <c r="B20" s="1">
        <v>-28527.78</v>
      </c>
      <c r="C20" s="1">
        <v>-110</v>
      </c>
    </row>
    <row r="21" spans="1:5" x14ac:dyDescent="0.3">
      <c r="A21" t="s">
        <v>167</v>
      </c>
      <c r="B21" s="1">
        <v>-487.42</v>
      </c>
    </row>
    <row r="22" spans="1:5" x14ac:dyDescent="0.3">
      <c r="A22" t="s">
        <v>15</v>
      </c>
      <c r="D22" s="1">
        <v>32000</v>
      </c>
    </row>
    <row r="23" spans="1:5" x14ac:dyDescent="0.3">
      <c r="A23" t="s">
        <v>16</v>
      </c>
      <c r="D23" s="1">
        <v>-50.81</v>
      </c>
    </row>
    <row r="24" spans="1:5" x14ac:dyDescent="0.3">
      <c r="A24" t="s">
        <v>17</v>
      </c>
      <c r="C24" s="1">
        <v>764.63</v>
      </c>
    </row>
    <row r="25" spans="1:5" x14ac:dyDescent="0.3">
      <c r="A25" t="s">
        <v>18</v>
      </c>
      <c r="B25" s="1">
        <v>-1247171.96</v>
      </c>
      <c r="C25" s="1">
        <v>-267479.03999999998</v>
      </c>
    </row>
    <row r="26" spans="1:5" x14ac:dyDescent="0.3">
      <c r="A26" t="s">
        <v>19</v>
      </c>
      <c r="B26" s="1">
        <v>-200000</v>
      </c>
      <c r="C26" s="1">
        <v>0</v>
      </c>
    </row>
    <row r="28" spans="1:5" ht="15" thickBot="1" x14ac:dyDescent="0.35">
      <c r="A28" t="s">
        <v>277</v>
      </c>
      <c r="B28" s="34">
        <f>SUM(B6:B27)</f>
        <v>3400786.7399999946</v>
      </c>
      <c r="C28" s="34">
        <f>SUM(C6:C27)</f>
        <v>423686.69000000012</v>
      </c>
      <c r="D28" s="34">
        <f>SUM(D6:D27)</f>
        <v>928.00000000005593</v>
      </c>
    </row>
    <row r="29" spans="1:5" ht="15.6" thickTop="1" thickBot="1" x14ac:dyDescent="0.35">
      <c r="A29" s="11"/>
      <c r="B29" s="10"/>
      <c r="C29" s="10"/>
      <c r="D29" s="10"/>
    </row>
    <row r="30" spans="1:5" ht="15" thickTop="1" x14ac:dyDescent="0.3"/>
    <row r="31" spans="1:5" x14ac:dyDescent="0.3">
      <c r="A31" s="42" t="s">
        <v>20</v>
      </c>
      <c r="C31"/>
      <c r="E31" s="1"/>
    </row>
    <row r="32" spans="1:5" x14ac:dyDescent="0.3">
      <c r="C32"/>
      <c r="E32" s="1"/>
    </row>
    <row r="33" spans="1:10" x14ac:dyDescent="0.3">
      <c r="A33" t="s">
        <v>0</v>
      </c>
      <c r="B33" s="6">
        <f>+B28</f>
        <v>3400786.7399999946</v>
      </c>
      <c r="C33" s="6">
        <f t="shared" ref="C33:D33" si="0">+C28</f>
        <v>423686.69000000012</v>
      </c>
      <c r="D33" s="6">
        <f t="shared" si="0"/>
        <v>928.00000000005593</v>
      </c>
      <c r="E33" s="1"/>
      <c r="J33" s="5"/>
    </row>
    <row r="34" spans="1:10" x14ac:dyDescent="0.3">
      <c r="A34" t="s">
        <v>168</v>
      </c>
      <c r="B34" s="6"/>
      <c r="C34" s="12"/>
      <c r="E34" s="1"/>
      <c r="J34" s="5"/>
    </row>
    <row r="35" spans="1:10" x14ac:dyDescent="0.3">
      <c r="A35" t="s">
        <v>169</v>
      </c>
      <c r="B35" s="6">
        <v>-759624.65</v>
      </c>
      <c r="J35" s="5"/>
    </row>
    <row r="36" spans="1:10" x14ac:dyDescent="0.3">
      <c r="A36" s="8" t="s">
        <v>172</v>
      </c>
      <c r="B36" s="7"/>
      <c r="C36" s="12">
        <v>-3323.28</v>
      </c>
      <c r="J36" s="5"/>
    </row>
    <row r="37" spans="1:10" x14ac:dyDescent="0.3">
      <c r="A37" s="1" t="s">
        <v>21</v>
      </c>
      <c r="B37" s="4">
        <v>-235.26</v>
      </c>
      <c r="C37" s="12"/>
      <c r="J37" s="5"/>
    </row>
    <row r="38" spans="1:10" x14ac:dyDescent="0.3">
      <c r="A38" s="1" t="s">
        <v>276</v>
      </c>
      <c r="B38" s="1">
        <v>-303.67</v>
      </c>
      <c r="C38" s="12"/>
      <c r="J38" s="5"/>
    </row>
    <row r="39" spans="1:10" x14ac:dyDescent="0.3">
      <c r="A39" s="1" t="s">
        <v>192</v>
      </c>
      <c r="B39" s="1">
        <v>-2268.64</v>
      </c>
      <c r="C39" s="12"/>
      <c r="J39" s="5"/>
    </row>
    <row r="40" spans="1:10" x14ac:dyDescent="0.3">
      <c r="A40" s="1" t="s">
        <v>193</v>
      </c>
      <c r="B40" s="1">
        <v>-1995</v>
      </c>
      <c r="C40" s="12"/>
      <c r="J40" s="5"/>
    </row>
    <row r="41" spans="1:10" x14ac:dyDescent="0.3">
      <c r="A41" s="1" t="s">
        <v>194</v>
      </c>
      <c r="B41" s="1">
        <v>-450</v>
      </c>
      <c r="C41" s="12"/>
      <c r="E41" s="1"/>
      <c r="J41" s="5"/>
    </row>
    <row r="42" spans="1:10" x14ac:dyDescent="0.3">
      <c r="A42" s="1" t="s">
        <v>186</v>
      </c>
      <c r="C42" s="12"/>
      <c r="D42" s="1">
        <f>50.81+50.81</f>
        <v>101.62</v>
      </c>
      <c r="E42" s="1"/>
      <c r="J42" s="5"/>
    </row>
    <row r="43" spans="1:10" x14ac:dyDescent="0.3">
      <c r="A43" t="s">
        <v>170</v>
      </c>
      <c r="B43" s="7"/>
      <c r="C43"/>
      <c r="E43" s="1"/>
      <c r="G43" s="1"/>
      <c r="H43" s="1"/>
      <c r="J43" s="5"/>
    </row>
    <row r="44" spans="1:10" x14ac:dyDescent="0.3">
      <c r="A44" t="s">
        <v>1</v>
      </c>
      <c r="B44" s="6">
        <v>-48329.86</v>
      </c>
      <c r="C44" s="12"/>
      <c r="E44" s="1"/>
      <c r="G44" s="1"/>
      <c r="H44" s="1"/>
      <c r="J44" s="5"/>
    </row>
    <row r="45" spans="1:10" x14ac:dyDescent="0.3">
      <c r="A45" s="8" t="s">
        <v>2</v>
      </c>
      <c r="B45" s="6">
        <v>-25618</v>
      </c>
      <c r="C45" s="9"/>
      <c r="E45" s="1"/>
      <c r="G45" s="1"/>
      <c r="H45" s="1"/>
      <c r="J45" s="5"/>
    </row>
    <row r="46" spans="1:10" x14ac:dyDescent="0.3">
      <c r="A46" s="8" t="s">
        <v>22</v>
      </c>
      <c r="B46" s="6">
        <v>-24372.23</v>
      </c>
      <c r="C46"/>
      <c r="E46" s="1"/>
      <c r="J46" s="5"/>
    </row>
    <row r="47" spans="1:10" x14ac:dyDescent="0.3">
      <c r="A47" s="7" t="s">
        <v>31</v>
      </c>
      <c r="C47" s="9"/>
      <c r="D47" s="7"/>
      <c r="E47" s="7"/>
      <c r="J47" s="5"/>
    </row>
    <row r="48" spans="1:10" x14ac:dyDescent="0.3">
      <c r="A48" s="7" t="s">
        <v>23</v>
      </c>
      <c r="B48" s="4">
        <v>-5013.42</v>
      </c>
      <c r="C48" s="9"/>
      <c r="D48" s="7"/>
      <c r="E48" s="7"/>
      <c r="J48" s="5"/>
    </row>
    <row r="49" spans="1:10" x14ac:dyDescent="0.3">
      <c r="A49" s="7" t="s">
        <v>24</v>
      </c>
      <c r="B49" s="4">
        <v>-6858.37</v>
      </c>
      <c r="C49" s="9"/>
      <c r="D49" s="7"/>
      <c r="E49" s="7"/>
      <c r="J49" s="5"/>
    </row>
    <row r="50" spans="1:10" x14ac:dyDescent="0.3">
      <c r="A50" s="7" t="s">
        <v>25</v>
      </c>
      <c r="B50" s="4">
        <v>-33000</v>
      </c>
      <c r="C50" s="9"/>
      <c r="D50" s="7"/>
      <c r="E50" s="7"/>
      <c r="J50" s="5"/>
    </row>
    <row r="51" spans="1:10" x14ac:dyDescent="0.3">
      <c r="A51" s="7" t="s">
        <v>26</v>
      </c>
      <c r="B51" s="4">
        <v>-22893.35</v>
      </c>
      <c r="C51" s="9"/>
      <c r="D51" s="7"/>
      <c r="E51" s="7"/>
      <c r="J51" s="5"/>
    </row>
    <row r="52" spans="1:10" x14ac:dyDescent="0.3">
      <c r="C52"/>
      <c r="E52" s="1"/>
      <c r="J52" s="5"/>
    </row>
    <row r="53" spans="1:10" x14ac:dyDescent="0.3">
      <c r="A53" s="7" t="s">
        <v>187</v>
      </c>
      <c r="B53" s="1">
        <f>SUM(B33:B52)</f>
        <v>2469824.2899999949</v>
      </c>
      <c r="C53" s="1">
        <f>SUM(C33:C52)</f>
        <v>420363.41000000009</v>
      </c>
      <c r="D53" s="1">
        <f>SUM(D33:D52)</f>
        <v>1029.6200000000558</v>
      </c>
      <c r="E53" s="1"/>
      <c r="J53" s="5"/>
    </row>
    <row r="54" spans="1:10" x14ac:dyDescent="0.3">
      <c r="A54" s="7" t="s">
        <v>188</v>
      </c>
      <c r="B54" s="2">
        <v>2469826</v>
      </c>
      <c r="C54" s="2">
        <v>420364</v>
      </c>
      <c r="D54" s="2">
        <v>1029</v>
      </c>
      <c r="E54" s="1"/>
      <c r="J54" s="5"/>
    </row>
    <row r="55" spans="1:10" x14ac:dyDescent="0.3">
      <c r="J55" s="5"/>
    </row>
    <row r="56" spans="1:10" x14ac:dyDescent="0.3">
      <c r="J56"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72618-48DC-4F4B-90D3-BD7B8FE67099}">
  <dimension ref="A1:K140"/>
  <sheetViews>
    <sheetView tabSelected="1" workbookViewId="0">
      <pane ySplit="3" topLeftCell="A4" activePane="bottomLeft" state="frozen"/>
      <selection pane="bottomLeft" activeCell="A4" sqref="A4"/>
    </sheetView>
  </sheetViews>
  <sheetFormatPr defaultRowHeight="14.4" x14ac:dyDescent="0.3"/>
  <cols>
    <col min="1" max="1" width="32.21875" customWidth="1"/>
    <col min="2" max="2" width="13.6640625" style="1" bestFit="1" customWidth="1"/>
    <col min="3" max="3" width="14.6640625" style="1" customWidth="1"/>
    <col min="4" max="5" width="13.6640625" style="1" customWidth="1"/>
    <col min="6" max="6" width="31.77734375" customWidth="1"/>
  </cols>
  <sheetData>
    <row r="1" spans="1:7" x14ac:dyDescent="0.3">
      <c r="B1" s="3"/>
      <c r="C1" s="3"/>
      <c r="D1" s="3"/>
      <c r="E1" s="3"/>
    </row>
    <row r="2" spans="1:7" x14ac:dyDescent="0.3">
      <c r="B2" s="3" t="s">
        <v>33</v>
      </c>
      <c r="C2" s="3" t="s">
        <v>33</v>
      </c>
      <c r="D2" s="3" t="s">
        <v>135</v>
      </c>
      <c r="E2" s="3" t="s">
        <v>200</v>
      </c>
      <c r="F2" s="3" t="s">
        <v>283</v>
      </c>
      <c r="G2" s="68" t="s">
        <v>284</v>
      </c>
    </row>
    <row r="3" spans="1:7" x14ac:dyDescent="0.3">
      <c r="B3" s="3" t="s">
        <v>35</v>
      </c>
      <c r="C3" s="3" t="s">
        <v>34</v>
      </c>
      <c r="D3" s="3"/>
      <c r="E3" s="3"/>
    </row>
    <row r="4" spans="1:7" x14ac:dyDescent="0.3">
      <c r="A4" s="19" t="s">
        <v>32</v>
      </c>
      <c r="B4" s="3"/>
      <c r="C4" s="3"/>
      <c r="D4" s="3"/>
      <c r="E4" s="3"/>
    </row>
    <row r="5" spans="1:7" x14ac:dyDescent="0.3">
      <c r="B5" s="3"/>
      <c r="C5" s="3"/>
      <c r="D5" s="3"/>
      <c r="E5" s="3"/>
    </row>
    <row r="6" spans="1:7" x14ac:dyDescent="0.3">
      <c r="A6" t="s">
        <v>72</v>
      </c>
      <c r="B6" s="1">
        <v>20136531</v>
      </c>
      <c r="C6" s="1">
        <f>3599354.4+17026050.43+89245.43</f>
        <v>20714650.259999998</v>
      </c>
      <c r="D6" s="1">
        <f>+C6-B6</f>
        <v>578119.25999999791</v>
      </c>
      <c r="E6" s="46">
        <f>ROUND((+D6/B6),4)</f>
        <v>2.87E-2</v>
      </c>
      <c r="F6" t="s">
        <v>278</v>
      </c>
    </row>
    <row r="8" spans="1:7" x14ac:dyDescent="0.3">
      <c r="A8" t="s">
        <v>36</v>
      </c>
    </row>
    <row r="9" spans="1:7" x14ac:dyDescent="0.3">
      <c r="A9" t="s">
        <v>37</v>
      </c>
      <c r="B9" s="1">
        <v>1575906</v>
      </c>
      <c r="C9" s="1">
        <v>1575096</v>
      </c>
      <c r="D9" s="1">
        <f t="shared" ref="D9:D13" si="0">+C9-B9</f>
        <v>-810</v>
      </c>
      <c r="E9" s="46">
        <f t="shared" ref="E9:E13" si="1">ROUND((+D9/B9),4)</f>
        <v>-5.0000000000000001E-4</v>
      </c>
    </row>
    <row r="10" spans="1:7" x14ac:dyDescent="0.3">
      <c r="A10" t="s">
        <v>38</v>
      </c>
      <c r="B10" s="1">
        <v>51118</v>
      </c>
      <c r="C10" s="1">
        <v>63287</v>
      </c>
      <c r="D10" s="1">
        <f t="shared" si="0"/>
        <v>12169</v>
      </c>
      <c r="E10" s="46">
        <f t="shared" si="1"/>
        <v>0.23810000000000001</v>
      </c>
    </row>
    <row r="11" spans="1:7" x14ac:dyDescent="0.3">
      <c r="A11" t="s">
        <v>39</v>
      </c>
      <c r="B11" s="1">
        <v>36914</v>
      </c>
      <c r="C11" s="1">
        <v>45052</v>
      </c>
      <c r="D11" s="1">
        <f t="shared" si="0"/>
        <v>8138</v>
      </c>
      <c r="E11" s="46">
        <f t="shared" si="1"/>
        <v>0.2205</v>
      </c>
    </row>
    <row r="12" spans="1:7" x14ac:dyDescent="0.3">
      <c r="A12" t="s">
        <v>40</v>
      </c>
      <c r="B12" s="30">
        <v>252976</v>
      </c>
      <c r="C12" s="30">
        <v>252976</v>
      </c>
      <c r="D12" s="30">
        <f t="shared" si="0"/>
        <v>0</v>
      </c>
      <c r="E12" s="46">
        <f t="shared" si="1"/>
        <v>0</v>
      </c>
    </row>
    <row r="13" spans="1:7" x14ac:dyDescent="0.3">
      <c r="A13" t="s">
        <v>41</v>
      </c>
      <c r="B13" s="1">
        <f>SUM(B9:B12)</f>
        <v>1916914</v>
      </c>
      <c r="C13" s="1">
        <f>SUM(C9:C12)</f>
        <v>1936411</v>
      </c>
      <c r="D13" s="1">
        <f t="shared" si="0"/>
        <v>19497</v>
      </c>
      <c r="E13" s="46">
        <f t="shared" si="1"/>
        <v>1.0200000000000001E-2</v>
      </c>
    </row>
    <row r="15" spans="1:7" x14ac:dyDescent="0.3">
      <c r="A15" t="s">
        <v>42</v>
      </c>
      <c r="B15" s="30">
        <v>-91919</v>
      </c>
      <c r="C15" s="47">
        <v>-93259</v>
      </c>
      <c r="D15" s="30">
        <f t="shared" ref="D15:D16" si="2">+C15-B15</f>
        <v>-1340</v>
      </c>
      <c r="E15" s="46">
        <f t="shared" ref="E15:E16" si="3">ROUND((+D15/B15),4)</f>
        <v>1.46E-2</v>
      </c>
    </row>
    <row r="16" spans="1:7" x14ac:dyDescent="0.3">
      <c r="A16" t="s">
        <v>43</v>
      </c>
      <c r="B16" s="1">
        <f>SUM(B13:B15)</f>
        <v>1824995</v>
      </c>
      <c r="C16" s="1">
        <f>SUM(C13:C15)</f>
        <v>1843152</v>
      </c>
      <c r="D16" s="1">
        <f t="shared" si="2"/>
        <v>18157</v>
      </c>
      <c r="E16" s="46">
        <f t="shared" si="3"/>
        <v>9.9000000000000008E-3</v>
      </c>
    </row>
    <row r="18" spans="1:7" x14ac:dyDescent="0.3">
      <c r="A18" t="s">
        <v>44</v>
      </c>
      <c r="B18" s="3"/>
      <c r="C18" s="3"/>
      <c r="D18" s="3"/>
      <c r="E18" s="3"/>
    </row>
    <row r="19" spans="1:7" x14ac:dyDescent="0.3">
      <c r="A19" t="s">
        <v>45</v>
      </c>
      <c r="B19" s="1">
        <v>652500</v>
      </c>
      <c r="C19" s="1">
        <v>962539.83</v>
      </c>
      <c r="D19" s="1">
        <f t="shared" ref="D19:D32" si="4">+C19-B19</f>
        <v>310039.82999999996</v>
      </c>
      <c r="E19" s="46">
        <f t="shared" ref="E19:E32" si="5">ROUND((+D19/B19),4)</f>
        <v>0.47520000000000001</v>
      </c>
      <c r="F19" t="s">
        <v>286</v>
      </c>
      <c r="G19" t="s">
        <v>216</v>
      </c>
    </row>
    <row r="20" spans="1:7" x14ac:dyDescent="0.3">
      <c r="A20" t="s">
        <v>46</v>
      </c>
      <c r="B20" s="1">
        <v>1000</v>
      </c>
      <c r="D20" s="1">
        <f t="shared" si="4"/>
        <v>-1000</v>
      </c>
      <c r="E20" s="46">
        <f t="shared" si="5"/>
        <v>-1</v>
      </c>
      <c r="F20" t="s">
        <v>201</v>
      </c>
    </row>
    <row r="21" spans="1:7" x14ac:dyDescent="0.3">
      <c r="A21" t="s">
        <v>47</v>
      </c>
      <c r="B21" s="1">
        <v>40000</v>
      </c>
      <c r="C21" s="1">
        <v>62284.33</v>
      </c>
      <c r="D21" s="1">
        <f t="shared" si="4"/>
        <v>22284.33</v>
      </c>
      <c r="E21" s="46">
        <f t="shared" si="5"/>
        <v>0.55710000000000004</v>
      </c>
    </row>
    <row r="22" spans="1:7" x14ac:dyDescent="0.3">
      <c r="A22" t="s">
        <v>48</v>
      </c>
      <c r="B22" s="1">
        <v>110000</v>
      </c>
      <c r="C22" s="1">
        <v>287005.40000000002</v>
      </c>
      <c r="D22" s="1">
        <f t="shared" si="4"/>
        <v>177005.40000000002</v>
      </c>
      <c r="E22" s="46">
        <f t="shared" si="5"/>
        <v>1.6091</v>
      </c>
      <c r="F22" t="s">
        <v>285</v>
      </c>
      <c r="G22" t="s">
        <v>195</v>
      </c>
    </row>
    <row r="23" spans="1:7" x14ac:dyDescent="0.3">
      <c r="A23" t="s">
        <v>49</v>
      </c>
      <c r="B23" s="1">
        <v>14000</v>
      </c>
      <c r="C23" s="1">
        <v>14956.08</v>
      </c>
      <c r="D23" s="1">
        <f t="shared" si="4"/>
        <v>956.07999999999993</v>
      </c>
      <c r="E23" s="46">
        <f t="shared" si="5"/>
        <v>6.83E-2</v>
      </c>
    </row>
    <row r="24" spans="1:7" x14ac:dyDescent="0.3">
      <c r="A24" t="s">
        <v>50</v>
      </c>
      <c r="B24" s="1">
        <v>238000</v>
      </c>
      <c r="C24" s="1">
        <v>309145.33</v>
      </c>
      <c r="D24" s="1">
        <f t="shared" si="4"/>
        <v>71145.330000000016</v>
      </c>
      <c r="E24" s="46">
        <f t="shared" si="5"/>
        <v>0.2989</v>
      </c>
      <c r="F24" t="s">
        <v>287</v>
      </c>
      <c r="G24" t="s">
        <v>196</v>
      </c>
    </row>
    <row r="25" spans="1:7" x14ac:dyDescent="0.3">
      <c r="A25" t="s">
        <v>51</v>
      </c>
      <c r="B25" s="1">
        <v>82247</v>
      </c>
      <c r="C25" s="1">
        <v>84097</v>
      </c>
      <c r="D25" s="1">
        <f t="shared" si="4"/>
        <v>1850</v>
      </c>
      <c r="E25" s="46">
        <f t="shared" si="5"/>
        <v>2.2499999999999999E-2</v>
      </c>
    </row>
    <row r="26" spans="1:7" x14ac:dyDescent="0.3">
      <c r="A26" t="s">
        <v>52</v>
      </c>
      <c r="B26" s="1">
        <v>54760</v>
      </c>
      <c r="C26" s="1">
        <v>73011.95</v>
      </c>
      <c r="D26" s="1">
        <f t="shared" si="4"/>
        <v>18251.949999999997</v>
      </c>
      <c r="E26" s="46">
        <f t="shared" si="5"/>
        <v>0.33329999999999999</v>
      </c>
    </row>
    <row r="27" spans="1:7" x14ac:dyDescent="0.3">
      <c r="A27" t="s">
        <v>53</v>
      </c>
      <c r="B27" s="1">
        <v>125000</v>
      </c>
      <c r="C27" s="1">
        <v>235510.2</v>
      </c>
      <c r="D27" s="1">
        <f t="shared" si="4"/>
        <v>110510.20000000001</v>
      </c>
      <c r="E27" s="46">
        <f t="shared" si="5"/>
        <v>0.8841</v>
      </c>
      <c r="F27" t="s">
        <v>288</v>
      </c>
      <c r="G27" t="s">
        <v>197</v>
      </c>
    </row>
    <row r="28" spans="1:7" x14ac:dyDescent="0.3">
      <c r="A28" t="s">
        <v>54</v>
      </c>
      <c r="B28" s="1">
        <v>16000</v>
      </c>
      <c r="C28" s="1">
        <v>20316.3</v>
      </c>
      <c r="D28" s="1">
        <f t="shared" si="4"/>
        <v>4316.2999999999993</v>
      </c>
      <c r="E28" s="46">
        <f t="shared" si="5"/>
        <v>0.26979999999999998</v>
      </c>
    </row>
    <row r="29" spans="1:7" x14ac:dyDescent="0.3">
      <c r="A29" t="s">
        <v>55</v>
      </c>
      <c r="B29" s="1">
        <v>2000</v>
      </c>
      <c r="C29" s="1">
        <v>1712.58</v>
      </c>
      <c r="D29" s="1">
        <f t="shared" si="4"/>
        <v>-287.42000000000007</v>
      </c>
      <c r="E29" s="46">
        <f t="shared" si="5"/>
        <v>-0.14369999999999999</v>
      </c>
    </row>
    <row r="30" spans="1:7" x14ac:dyDescent="0.3">
      <c r="A30" t="s">
        <v>56</v>
      </c>
      <c r="B30" s="1">
        <v>69668</v>
      </c>
      <c r="C30" s="1">
        <f>221891.23-C35-C36</f>
        <v>92642.23000000001</v>
      </c>
      <c r="D30" s="1">
        <f t="shared" si="4"/>
        <v>22974.23000000001</v>
      </c>
      <c r="E30" s="46">
        <f t="shared" si="5"/>
        <v>0.32979999999999998</v>
      </c>
    </row>
    <row r="31" spans="1:7" x14ac:dyDescent="0.3">
      <c r="A31" t="s">
        <v>57</v>
      </c>
      <c r="B31" s="30"/>
      <c r="C31" s="30">
        <v>136725.25</v>
      </c>
      <c r="D31" s="30">
        <f t="shared" si="4"/>
        <v>136725.25</v>
      </c>
      <c r="E31" s="46"/>
      <c r="F31" t="s">
        <v>289</v>
      </c>
      <c r="G31" t="s">
        <v>199</v>
      </c>
    </row>
    <row r="32" spans="1:7" x14ac:dyDescent="0.3">
      <c r="A32" t="s">
        <v>58</v>
      </c>
      <c r="B32" s="1">
        <f>SUM(B19:B31)</f>
        <v>1405175</v>
      </c>
      <c r="C32" s="1">
        <f>SUM(C19:C31)</f>
        <v>2279946.4800000004</v>
      </c>
      <c r="D32" s="1">
        <f t="shared" si="4"/>
        <v>874771.48000000045</v>
      </c>
      <c r="E32" s="46">
        <f t="shared" si="5"/>
        <v>0.62250000000000005</v>
      </c>
    </row>
    <row r="34" spans="1:11" x14ac:dyDescent="0.3">
      <c r="A34" t="s">
        <v>59</v>
      </c>
    </row>
    <row r="35" spans="1:11" x14ac:dyDescent="0.3">
      <c r="A35" t="s">
        <v>60</v>
      </c>
      <c r="B35" s="1">
        <v>77165</v>
      </c>
      <c r="C35" s="1">
        <v>78999</v>
      </c>
      <c r="D35" s="1">
        <f t="shared" ref="D35:D38" si="6">+C35-B35</f>
        <v>1834</v>
      </c>
      <c r="E35" s="46">
        <f t="shared" ref="E35:E38" si="7">ROUND((+D35/B35),4)</f>
        <v>2.3800000000000002E-2</v>
      </c>
    </row>
    <row r="36" spans="1:11" x14ac:dyDescent="0.3">
      <c r="A36" t="s">
        <v>61</v>
      </c>
      <c r="B36" s="1">
        <v>50250</v>
      </c>
      <c r="C36" s="1">
        <v>50250</v>
      </c>
      <c r="D36" s="1">
        <f t="shared" si="6"/>
        <v>0</v>
      </c>
      <c r="E36" s="46">
        <f t="shared" si="7"/>
        <v>0</v>
      </c>
    </row>
    <row r="37" spans="1:11" x14ac:dyDescent="0.3">
      <c r="A37" t="s">
        <v>62</v>
      </c>
      <c r="B37" s="30">
        <v>82247</v>
      </c>
      <c r="C37" s="30">
        <v>84097</v>
      </c>
      <c r="D37" s="30">
        <f t="shared" si="6"/>
        <v>1850</v>
      </c>
      <c r="E37" s="46">
        <f t="shared" si="7"/>
        <v>2.2499999999999999E-2</v>
      </c>
    </row>
    <row r="38" spans="1:11" x14ac:dyDescent="0.3">
      <c r="A38" t="s">
        <v>63</v>
      </c>
      <c r="B38" s="1">
        <f>SUM(B32:B37)</f>
        <v>1614837</v>
      </c>
      <c r="C38" s="1">
        <f>SUM(C32:C37)</f>
        <v>2493292.4800000004</v>
      </c>
      <c r="D38" s="1">
        <f t="shared" si="6"/>
        <v>878455.48000000045</v>
      </c>
      <c r="E38" s="46">
        <f t="shared" si="7"/>
        <v>0.54400000000000004</v>
      </c>
    </row>
    <row r="40" spans="1:11" x14ac:dyDescent="0.3">
      <c r="A40" t="s">
        <v>136</v>
      </c>
    </row>
    <row r="41" spans="1:11" x14ac:dyDescent="0.3">
      <c r="A41" t="s">
        <v>138</v>
      </c>
      <c r="C41" s="1">
        <f>-56.8+37185.06</f>
        <v>37128.259999999995</v>
      </c>
      <c r="D41" s="1">
        <f t="shared" ref="D41:D47" si="8">+C41-B41</f>
        <v>37128.259999999995</v>
      </c>
      <c r="E41" s="46"/>
      <c r="F41" t="s">
        <v>198</v>
      </c>
    </row>
    <row r="42" spans="1:11" x14ac:dyDescent="0.3">
      <c r="A42" t="s">
        <v>139</v>
      </c>
      <c r="C42" s="1">
        <v>12000</v>
      </c>
      <c r="D42" s="1">
        <f t="shared" si="8"/>
        <v>12000</v>
      </c>
      <c r="E42" s="46"/>
    </row>
    <row r="43" spans="1:11" ht="15.6" x14ac:dyDescent="0.3">
      <c r="A43" s="8" t="s">
        <v>64</v>
      </c>
      <c r="B43" s="7">
        <v>670000</v>
      </c>
      <c r="C43" s="6">
        <v>670000</v>
      </c>
      <c r="D43" s="1">
        <f t="shared" si="8"/>
        <v>0</v>
      </c>
      <c r="E43" s="46">
        <f t="shared" ref="E43:E50" si="9">ROUND((+D43/B43),4)</f>
        <v>0</v>
      </c>
      <c r="F43" s="18"/>
      <c r="G43" s="18"/>
      <c r="H43" s="18"/>
      <c r="I43" s="18"/>
      <c r="J43" s="18"/>
      <c r="K43" s="18"/>
    </row>
    <row r="44" spans="1:11" ht="15.6" x14ac:dyDescent="0.3">
      <c r="A44" s="8" t="s">
        <v>65</v>
      </c>
      <c r="B44" s="7">
        <v>56511</v>
      </c>
      <c r="C44" s="6">
        <v>56511</v>
      </c>
      <c r="D44" s="1">
        <f t="shared" si="8"/>
        <v>0</v>
      </c>
      <c r="E44" s="46">
        <f t="shared" si="9"/>
        <v>0</v>
      </c>
      <c r="F44" s="18"/>
      <c r="G44" s="18"/>
      <c r="H44" s="18"/>
      <c r="I44" s="18"/>
      <c r="J44" s="18"/>
      <c r="K44" s="18"/>
    </row>
    <row r="45" spans="1:11" ht="15.6" x14ac:dyDescent="0.3">
      <c r="A45" s="8" t="s">
        <v>66</v>
      </c>
      <c r="B45" s="7">
        <v>27262</v>
      </c>
      <c r="C45" s="6">
        <v>27262</v>
      </c>
      <c r="D45" s="1">
        <f t="shared" si="8"/>
        <v>0</v>
      </c>
      <c r="E45" s="46">
        <f t="shared" si="9"/>
        <v>0</v>
      </c>
      <c r="F45" s="18"/>
      <c r="G45" s="18"/>
      <c r="H45" s="18"/>
      <c r="I45" s="18"/>
      <c r="J45" s="18"/>
      <c r="K45" s="18"/>
    </row>
    <row r="46" spans="1:11" ht="15.6" x14ac:dyDescent="0.3">
      <c r="A46" s="8" t="s">
        <v>67</v>
      </c>
      <c r="B46" s="7">
        <v>170050</v>
      </c>
      <c r="C46" s="6">
        <v>170050</v>
      </c>
      <c r="D46" s="1">
        <f t="shared" si="8"/>
        <v>0</v>
      </c>
      <c r="E46" s="46">
        <f t="shared" si="9"/>
        <v>0</v>
      </c>
      <c r="F46" s="18"/>
      <c r="G46" s="18"/>
      <c r="H46" s="18"/>
      <c r="I46" s="18"/>
      <c r="J46" s="18"/>
      <c r="K46" s="18"/>
    </row>
    <row r="47" spans="1:11" ht="15.6" x14ac:dyDescent="0.3">
      <c r="A47" s="8" t="s">
        <v>68</v>
      </c>
      <c r="B47" s="48">
        <v>56.8</v>
      </c>
      <c r="C47" s="48">
        <v>56.8</v>
      </c>
      <c r="D47" s="30">
        <f t="shared" si="8"/>
        <v>0</v>
      </c>
      <c r="E47" s="46">
        <f t="shared" si="9"/>
        <v>0</v>
      </c>
      <c r="F47" s="18"/>
      <c r="G47" s="18"/>
      <c r="H47" s="18"/>
      <c r="I47" s="18"/>
      <c r="J47" s="18"/>
      <c r="K47" s="18"/>
    </row>
    <row r="48" spans="1:11" x14ac:dyDescent="0.3">
      <c r="A48" s="8" t="s">
        <v>137</v>
      </c>
      <c r="B48" s="7">
        <f>SUM(B41:B47)</f>
        <v>923879.8</v>
      </c>
      <c r="C48" s="7">
        <f>SUM(C41:C47)</f>
        <v>973008.06</v>
      </c>
      <c r="D48" s="16">
        <f t="shared" ref="D48" si="10">SUM(D41:D47)</f>
        <v>49128.259999999995</v>
      </c>
      <c r="E48" s="46">
        <f t="shared" si="9"/>
        <v>5.3199999999999997E-2</v>
      </c>
      <c r="F48" s="16"/>
      <c r="G48" s="16"/>
      <c r="H48" s="16"/>
      <c r="I48" s="16"/>
      <c r="J48" s="16"/>
      <c r="K48" s="16"/>
    </row>
    <row r="50" spans="1:6" x14ac:dyDescent="0.3">
      <c r="A50" t="s">
        <v>69</v>
      </c>
      <c r="B50" s="36">
        <f>+B38+B16+B6</f>
        <v>23576363</v>
      </c>
      <c r="C50" s="37">
        <f>+C38+C16+C6+C48</f>
        <v>26024102.799999997</v>
      </c>
      <c r="D50" s="36">
        <f>+D38+D16+D6</f>
        <v>1474731.7399999984</v>
      </c>
      <c r="E50" s="46">
        <f t="shared" si="9"/>
        <v>6.2600000000000003E-2</v>
      </c>
    </row>
    <row r="51" spans="1:6" x14ac:dyDescent="0.3">
      <c r="A51" s="8" t="s">
        <v>148</v>
      </c>
      <c r="C51" s="45">
        <f>-C15</f>
        <v>93259</v>
      </c>
    </row>
    <row r="52" spans="1:6" ht="15" thickBot="1" x14ac:dyDescent="0.35">
      <c r="A52" s="8" t="s">
        <v>149</v>
      </c>
      <c r="B52" s="34"/>
      <c r="C52" s="35">
        <f>SUM(C50:C51)</f>
        <v>26117361.799999997</v>
      </c>
      <c r="D52" s="34" t="s">
        <v>157</v>
      </c>
      <c r="E52" s="25"/>
    </row>
    <row r="53" spans="1:6" ht="15" thickTop="1" x14ac:dyDescent="0.3"/>
    <row r="54" spans="1:6" x14ac:dyDescent="0.3">
      <c r="A54" s="19" t="s">
        <v>142</v>
      </c>
    </row>
    <row r="55" spans="1:6" x14ac:dyDescent="0.3">
      <c r="A55" s="8" t="s">
        <v>73</v>
      </c>
    </row>
    <row r="56" spans="1:6" x14ac:dyDescent="0.3">
      <c r="A56" s="8" t="s">
        <v>74</v>
      </c>
      <c r="B56" s="1">
        <v>2140</v>
      </c>
      <c r="C56" s="1">
        <v>2140</v>
      </c>
      <c r="D56" s="1">
        <f>+B56-C56</f>
        <v>0</v>
      </c>
      <c r="E56" s="46">
        <f t="shared" ref="E56:E70" si="11">ROUND((+D56/B56),4)</f>
        <v>0</v>
      </c>
    </row>
    <row r="57" spans="1:6" x14ac:dyDescent="0.3">
      <c r="A57" s="8" t="s">
        <v>75</v>
      </c>
      <c r="B57" s="1">
        <v>194971</v>
      </c>
      <c r="C57" s="1">
        <v>190329.96</v>
      </c>
      <c r="D57" s="1">
        <f t="shared" ref="D57:D70" si="12">+B57-C57</f>
        <v>4641.0400000000081</v>
      </c>
      <c r="E57" s="46">
        <f t="shared" si="11"/>
        <v>2.3800000000000002E-2</v>
      </c>
    </row>
    <row r="58" spans="1:6" x14ac:dyDescent="0.3">
      <c r="A58" s="8" t="s">
        <v>76</v>
      </c>
      <c r="B58" s="1">
        <v>2000</v>
      </c>
      <c r="C58" s="1">
        <v>1915.75</v>
      </c>
      <c r="D58" s="1">
        <f t="shared" si="12"/>
        <v>84.25</v>
      </c>
      <c r="E58" s="46">
        <f t="shared" si="11"/>
        <v>4.2099999999999999E-2</v>
      </c>
    </row>
    <row r="59" spans="1:6" x14ac:dyDescent="0.3">
      <c r="A59" s="8" t="s">
        <v>143</v>
      </c>
      <c r="B59" s="1">
        <v>31350</v>
      </c>
      <c r="D59" s="1">
        <f t="shared" si="12"/>
        <v>31350</v>
      </c>
      <c r="E59" s="46">
        <f t="shared" si="11"/>
        <v>1</v>
      </c>
    </row>
    <row r="60" spans="1:6" x14ac:dyDescent="0.3">
      <c r="A60" s="8" t="s">
        <v>77</v>
      </c>
      <c r="B60" s="1">
        <v>83400</v>
      </c>
      <c r="C60" s="1">
        <v>82671.81</v>
      </c>
      <c r="D60" s="1">
        <f t="shared" si="12"/>
        <v>728.19000000000233</v>
      </c>
      <c r="E60" s="46">
        <f t="shared" si="11"/>
        <v>8.6999999999999994E-3</v>
      </c>
    </row>
    <row r="61" spans="1:6" x14ac:dyDescent="0.3">
      <c r="A61" s="8" t="s">
        <v>78</v>
      </c>
      <c r="B61" s="1">
        <v>179952</v>
      </c>
      <c r="C61" s="1">
        <v>156650.20000000001</v>
      </c>
      <c r="D61" s="1">
        <f t="shared" si="12"/>
        <v>23301.799999999988</v>
      </c>
      <c r="E61" s="46">
        <f t="shared" si="11"/>
        <v>0.1295</v>
      </c>
    </row>
    <row r="62" spans="1:6" x14ac:dyDescent="0.3">
      <c r="A62" s="8" t="s">
        <v>79</v>
      </c>
      <c r="B62" s="1">
        <v>228964</v>
      </c>
      <c r="C62" s="1">
        <v>212737.83</v>
      </c>
      <c r="D62" s="1">
        <f t="shared" si="12"/>
        <v>16226.170000000013</v>
      </c>
      <c r="E62" s="46">
        <f t="shared" si="11"/>
        <v>7.0900000000000005E-2</v>
      </c>
    </row>
    <row r="63" spans="1:6" x14ac:dyDescent="0.3">
      <c r="A63" s="8" t="s">
        <v>80</v>
      </c>
      <c r="B63" s="1">
        <v>85000</v>
      </c>
      <c r="C63" s="1">
        <v>62525.78</v>
      </c>
      <c r="D63" s="1">
        <f t="shared" si="12"/>
        <v>22474.22</v>
      </c>
      <c r="E63" s="46">
        <f t="shared" si="11"/>
        <v>0.26440000000000002</v>
      </c>
    </row>
    <row r="64" spans="1:6" x14ac:dyDescent="0.3">
      <c r="A64" s="8" t="s">
        <v>81</v>
      </c>
      <c r="B64" s="1">
        <v>97800</v>
      </c>
      <c r="C64" s="1">
        <v>54706.35</v>
      </c>
      <c r="D64" s="49">
        <f t="shared" si="12"/>
        <v>43093.65</v>
      </c>
      <c r="E64" s="46">
        <f t="shared" si="11"/>
        <v>0.44059999999999999</v>
      </c>
      <c r="F64" t="s">
        <v>202</v>
      </c>
    </row>
    <row r="65" spans="1:6" x14ac:dyDescent="0.3">
      <c r="A65" s="8" t="s">
        <v>82</v>
      </c>
      <c r="B65" s="1">
        <v>77579</v>
      </c>
      <c r="C65" s="1">
        <v>66014.11</v>
      </c>
      <c r="D65" s="1">
        <f t="shared" si="12"/>
        <v>11564.89</v>
      </c>
      <c r="E65" s="46">
        <f t="shared" si="11"/>
        <v>0.14910000000000001</v>
      </c>
    </row>
    <row r="66" spans="1:6" x14ac:dyDescent="0.3">
      <c r="A66" s="8" t="s">
        <v>83</v>
      </c>
      <c r="B66" s="1">
        <v>162379</v>
      </c>
      <c r="C66" s="1">
        <v>162169.68</v>
      </c>
      <c r="D66" s="1">
        <f t="shared" si="12"/>
        <v>209.32000000000698</v>
      </c>
      <c r="E66" s="46">
        <f t="shared" si="11"/>
        <v>1.2999999999999999E-3</v>
      </c>
    </row>
    <row r="67" spans="1:6" x14ac:dyDescent="0.3">
      <c r="A67" s="8" t="s">
        <v>84</v>
      </c>
      <c r="B67" s="1">
        <v>123121</v>
      </c>
      <c r="C67" s="1">
        <v>122406.1</v>
      </c>
      <c r="D67" s="1">
        <f t="shared" si="12"/>
        <v>714.89999999999418</v>
      </c>
      <c r="E67" s="46">
        <f t="shared" si="11"/>
        <v>5.7999999999999996E-3</v>
      </c>
    </row>
    <row r="68" spans="1:6" x14ac:dyDescent="0.3">
      <c r="A68" s="8" t="s">
        <v>85</v>
      </c>
      <c r="B68" s="1">
        <v>700</v>
      </c>
      <c r="C68" s="1">
        <v>309.42</v>
      </c>
      <c r="D68" s="1">
        <f t="shared" si="12"/>
        <v>390.58</v>
      </c>
      <c r="E68" s="46">
        <f t="shared" si="11"/>
        <v>0.55800000000000005</v>
      </c>
    </row>
    <row r="69" spans="1:6" x14ac:dyDescent="0.3">
      <c r="A69" s="8" t="s">
        <v>86</v>
      </c>
      <c r="B69" s="1">
        <v>5000</v>
      </c>
      <c r="C69" s="1">
        <v>4884</v>
      </c>
      <c r="D69" s="1">
        <f t="shared" si="12"/>
        <v>116</v>
      </c>
      <c r="E69" s="46">
        <f t="shared" si="11"/>
        <v>2.3199999999999998E-2</v>
      </c>
    </row>
    <row r="70" spans="1:6" x14ac:dyDescent="0.3">
      <c r="A70" s="8" t="s">
        <v>87</v>
      </c>
      <c r="B70" s="30">
        <v>109846</v>
      </c>
      <c r="C70" s="30">
        <v>89201.06</v>
      </c>
      <c r="D70" s="50">
        <f t="shared" si="12"/>
        <v>20644.940000000002</v>
      </c>
      <c r="E70" s="46">
        <f t="shared" si="11"/>
        <v>0.18790000000000001</v>
      </c>
      <c r="F70" t="s">
        <v>203</v>
      </c>
    </row>
    <row r="71" spans="1:6" x14ac:dyDescent="0.3">
      <c r="A71" s="8" t="s">
        <v>88</v>
      </c>
      <c r="B71" s="1">
        <f>SUM(B56:B70)</f>
        <v>1384202</v>
      </c>
      <c r="C71" s="1">
        <f>SUM(C56:C70)</f>
        <v>1208662.05</v>
      </c>
      <c r="D71" s="1">
        <f>SUM(D56:D70)</f>
        <v>175539.95</v>
      </c>
      <c r="E71" s="46">
        <f t="shared" ref="E71" si="13">ROUND((+D71/B71),4)</f>
        <v>0.1268</v>
      </c>
    </row>
    <row r="72" spans="1:6" x14ac:dyDescent="0.3">
      <c r="A72" s="8"/>
    </row>
    <row r="73" spans="1:6" x14ac:dyDescent="0.3">
      <c r="A73" s="8" t="s">
        <v>89</v>
      </c>
    </row>
    <row r="74" spans="1:6" x14ac:dyDescent="0.3">
      <c r="A74" s="8" t="s">
        <v>90</v>
      </c>
      <c r="B74" s="1">
        <v>1761945</v>
      </c>
      <c r="C74" s="1">
        <v>1712935.47</v>
      </c>
      <c r="D74" s="1">
        <f t="shared" ref="D74:D82" si="14">+B74-C74</f>
        <v>49009.530000000028</v>
      </c>
      <c r="E74" s="46">
        <f t="shared" ref="E74:E82" si="15">ROUND((+D74/B74),4)</f>
        <v>2.7799999999999998E-2</v>
      </c>
    </row>
    <row r="75" spans="1:6" x14ac:dyDescent="0.3">
      <c r="A75" s="8" t="s">
        <v>91</v>
      </c>
      <c r="B75" s="1">
        <v>53000</v>
      </c>
      <c r="C75" s="1">
        <v>44982.74</v>
      </c>
      <c r="D75" s="1">
        <f t="shared" si="14"/>
        <v>8017.260000000002</v>
      </c>
      <c r="E75" s="46">
        <f t="shared" si="15"/>
        <v>0.15129999999999999</v>
      </c>
    </row>
    <row r="76" spans="1:6" x14ac:dyDescent="0.3">
      <c r="A76" s="8" t="s">
        <v>92</v>
      </c>
      <c r="B76" s="1">
        <v>339291</v>
      </c>
      <c r="C76" s="1">
        <v>328764.48</v>
      </c>
      <c r="D76" s="1">
        <f t="shared" si="14"/>
        <v>10526.520000000019</v>
      </c>
      <c r="E76" s="46">
        <f t="shared" si="15"/>
        <v>3.1E-2</v>
      </c>
    </row>
    <row r="77" spans="1:6" x14ac:dyDescent="0.3">
      <c r="A77" s="8" t="s">
        <v>93</v>
      </c>
      <c r="B77" s="1">
        <v>143080</v>
      </c>
      <c r="C77" s="1">
        <v>126711.56</v>
      </c>
      <c r="D77" s="1">
        <f t="shared" si="14"/>
        <v>16368.440000000002</v>
      </c>
      <c r="E77" s="46">
        <f t="shared" si="15"/>
        <v>0.1144</v>
      </c>
    </row>
    <row r="78" spans="1:6" x14ac:dyDescent="0.3">
      <c r="A78" s="8" t="s">
        <v>94</v>
      </c>
      <c r="B78" s="1">
        <v>2750</v>
      </c>
      <c r="C78" s="1">
        <v>2750</v>
      </c>
      <c r="D78" s="1">
        <f t="shared" si="14"/>
        <v>0</v>
      </c>
      <c r="E78" s="46">
        <f t="shared" si="15"/>
        <v>0</v>
      </c>
    </row>
    <row r="79" spans="1:6" x14ac:dyDescent="0.3">
      <c r="A79" s="8" t="s">
        <v>95</v>
      </c>
      <c r="B79" s="1">
        <v>6265</v>
      </c>
      <c r="C79" s="1">
        <v>5764.94</v>
      </c>
      <c r="D79" s="1">
        <f t="shared" si="14"/>
        <v>500.0600000000004</v>
      </c>
      <c r="E79" s="46">
        <f t="shared" si="15"/>
        <v>7.9799999999999996E-2</v>
      </c>
    </row>
    <row r="80" spans="1:6" x14ac:dyDescent="0.3">
      <c r="A80" s="8" t="s">
        <v>96</v>
      </c>
      <c r="B80" s="1">
        <v>21527</v>
      </c>
      <c r="C80" s="1">
        <v>20390.28</v>
      </c>
      <c r="D80" s="1">
        <f t="shared" si="14"/>
        <v>1136.7200000000012</v>
      </c>
      <c r="E80" s="46">
        <f t="shared" si="15"/>
        <v>5.28E-2</v>
      </c>
    </row>
    <row r="81" spans="1:6" x14ac:dyDescent="0.3">
      <c r="A81" s="8" t="s">
        <v>97</v>
      </c>
      <c r="B81" s="1">
        <v>1710</v>
      </c>
      <c r="C81" s="1">
        <v>1710</v>
      </c>
      <c r="D81" s="1">
        <f t="shared" si="14"/>
        <v>0</v>
      </c>
      <c r="E81" s="46">
        <f t="shared" si="15"/>
        <v>0</v>
      </c>
    </row>
    <row r="82" spans="1:6" x14ac:dyDescent="0.3">
      <c r="A82" s="8" t="s">
        <v>98</v>
      </c>
      <c r="B82" s="30">
        <v>30285</v>
      </c>
      <c r="C82" s="30">
        <v>27622.48</v>
      </c>
      <c r="D82" s="30">
        <f t="shared" si="14"/>
        <v>2662.5200000000004</v>
      </c>
      <c r="E82" s="46">
        <f t="shared" si="15"/>
        <v>8.7900000000000006E-2</v>
      </c>
    </row>
    <row r="83" spans="1:6" x14ac:dyDescent="0.3">
      <c r="A83" s="8" t="s">
        <v>99</v>
      </c>
      <c r="B83" s="1">
        <f>SUM(B74:B82)</f>
        <v>2359853</v>
      </c>
      <c r="C83" s="1">
        <f>SUM(C74:C82)</f>
        <v>2271631.9499999997</v>
      </c>
      <c r="D83" s="1">
        <f>+B83-C83</f>
        <v>88221.050000000279</v>
      </c>
      <c r="E83" s="46">
        <f t="shared" ref="E83" si="16">ROUND((+D83/B83),4)</f>
        <v>3.7400000000000003E-2</v>
      </c>
    </row>
    <row r="84" spans="1:6" x14ac:dyDescent="0.3">
      <c r="A84" s="8"/>
    </row>
    <row r="85" spans="1:6" x14ac:dyDescent="0.3">
      <c r="A85" s="8" t="s">
        <v>131</v>
      </c>
    </row>
    <row r="86" spans="1:6" x14ac:dyDescent="0.3">
      <c r="A86" s="8" t="s">
        <v>132</v>
      </c>
      <c r="B86" s="1">
        <v>1221005</v>
      </c>
      <c r="C86" s="1">
        <v>1221004.8400000001</v>
      </c>
      <c r="D86" s="1">
        <f t="shared" ref="D86:D88" si="17">+B86-C86</f>
        <v>0.15999999991618097</v>
      </c>
      <c r="E86" s="46">
        <f t="shared" ref="E86:E88" si="18">ROUND((+D86/B86),4)</f>
        <v>0</v>
      </c>
    </row>
    <row r="87" spans="1:6" x14ac:dyDescent="0.3">
      <c r="A87" s="8" t="s">
        <v>133</v>
      </c>
      <c r="B87" s="30">
        <v>10950854</v>
      </c>
      <c r="C87" s="30">
        <v>10950854</v>
      </c>
      <c r="D87" s="30">
        <f t="shared" si="17"/>
        <v>0</v>
      </c>
      <c r="E87" s="46">
        <f t="shared" si="18"/>
        <v>0</v>
      </c>
    </row>
    <row r="88" spans="1:6" x14ac:dyDescent="0.3">
      <c r="A88" s="8" t="s">
        <v>134</v>
      </c>
      <c r="B88" s="1">
        <f>SUM(B86:B87)</f>
        <v>12171859</v>
      </c>
      <c r="C88" s="1">
        <f>SUM(C86:C87)</f>
        <v>12171858.84</v>
      </c>
      <c r="D88" s="1">
        <f t="shared" si="17"/>
        <v>0.16000000014901161</v>
      </c>
      <c r="E88" s="46">
        <f t="shared" si="18"/>
        <v>0</v>
      </c>
    </row>
    <row r="89" spans="1:6" x14ac:dyDescent="0.3">
      <c r="A89" s="8"/>
    </row>
    <row r="90" spans="1:6" x14ac:dyDescent="0.3">
      <c r="A90" s="8" t="s">
        <v>100</v>
      </c>
    </row>
    <row r="91" spans="1:6" x14ac:dyDescent="0.3">
      <c r="A91" s="8" t="s">
        <v>101</v>
      </c>
      <c r="B91" s="1">
        <v>1522924</v>
      </c>
      <c r="C91" s="1">
        <v>1398154.08</v>
      </c>
      <c r="D91" s="49">
        <f t="shared" ref="D91:D96" si="19">+B91-C91</f>
        <v>124769.91999999993</v>
      </c>
      <c r="E91" s="46">
        <f t="shared" ref="E91:E97" si="20">ROUND((+D91/B91),4)</f>
        <v>8.1900000000000001E-2</v>
      </c>
      <c r="F91" t="s">
        <v>205</v>
      </c>
    </row>
    <row r="92" spans="1:6" x14ac:dyDescent="0.3">
      <c r="A92" s="8" t="s">
        <v>102</v>
      </c>
      <c r="B92" s="1">
        <v>21321</v>
      </c>
      <c r="C92" s="1">
        <v>21320.41</v>
      </c>
      <c r="D92" s="1">
        <f t="shared" si="19"/>
        <v>0.59000000000014552</v>
      </c>
      <c r="E92" s="46">
        <f t="shared" si="20"/>
        <v>0</v>
      </c>
    </row>
    <row r="93" spans="1:6" x14ac:dyDescent="0.3">
      <c r="A93" s="8" t="s">
        <v>103</v>
      </c>
      <c r="B93" s="1">
        <v>278050</v>
      </c>
      <c r="C93" s="1">
        <v>236595.98</v>
      </c>
      <c r="D93" s="49">
        <f t="shared" si="19"/>
        <v>41454.01999999999</v>
      </c>
      <c r="E93" s="46">
        <f t="shared" si="20"/>
        <v>0.14910000000000001</v>
      </c>
      <c r="F93" t="s">
        <v>204</v>
      </c>
    </row>
    <row r="94" spans="1:6" x14ac:dyDescent="0.3">
      <c r="A94" s="8" t="s">
        <v>104</v>
      </c>
      <c r="B94" s="1">
        <v>624796</v>
      </c>
      <c r="C94" s="1">
        <v>565345.15</v>
      </c>
      <c r="D94" s="49">
        <f t="shared" si="19"/>
        <v>59450.849999999977</v>
      </c>
      <c r="E94" s="46">
        <f t="shared" si="20"/>
        <v>9.5200000000000007E-2</v>
      </c>
      <c r="F94" t="s">
        <v>212</v>
      </c>
    </row>
    <row r="95" spans="1:6" x14ac:dyDescent="0.3">
      <c r="A95" s="8" t="s">
        <v>105</v>
      </c>
      <c r="B95" s="1">
        <v>6000</v>
      </c>
      <c r="C95" s="1">
        <v>4250.4799999999996</v>
      </c>
      <c r="D95" s="1">
        <f t="shared" si="19"/>
        <v>1749.5200000000004</v>
      </c>
      <c r="E95" s="46">
        <f t="shared" si="20"/>
        <v>0.29160000000000003</v>
      </c>
    </row>
    <row r="96" spans="1:6" x14ac:dyDescent="0.3">
      <c r="A96" s="8" t="s">
        <v>106</v>
      </c>
      <c r="B96" s="30">
        <v>13440</v>
      </c>
      <c r="C96" s="30">
        <v>13366.84</v>
      </c>
      <c r="D96" s="30">
        <f t="shared" si="19"/>
        <v>73.159999999999854</v>
      </c>
      <c r="E96" s="46">
        <f t="shared" si="20"/>
        <v>5.4000000000000003E-3</v>
      </c>
    </row>
    <row r="97" spans="1:6" x14ac:dyDescent="0.3">
      <c r="A97" s="8" t="s">
        <v>107</v>
      </c>
      <c r="B97" s="1">
        <f>SUM(B91:B96)</f>
        <v>2466531</v>
      </c>
      <c r="C97" s="1">
        <f>SUM(C91:C96)</f>
        <v>2239032.94</v>
      </c>
      <c r="D97" s="1">
        <f>+B97-C97</f>
        <v>227498.06000000006</v>
      </c>
      <c r="E97" s="46">
        <f t="shared" si="20"/>
        <v>9.2200000000000004E-2</v>
      </c>
    </row>
    <row r="98" spans="1:6" x14ac:dyDescent="0.3">
      <c r="A98" s="8"/>
    </row>
    <row r="99" spans="1:6" x14ac:dyDescent="0.3">
      <c r="A99" s="8" t="s">
        <v>108</v>
      </c>
    </row>
    <row r="100" spans="1:6" x14ac:dyDescent="0.3">
      <c r="A100" s="8" t="s">
        <v>109</v>
      </c>
      <c r="B100" s="1">
        <v>160857</v>
      </c>
      <c r="C100" s="1">
        <v>160829.24</v>
      </c>
      <c r="D100" s="1">
        <f t="shared" ref="D100:D102" si="21">+B100-C100</f>
        <v>27.760000000009313</v>
      </c>
      <c r="E100" s="46">
        <f t="shared" ref="E100:E103" si="22">ROUND((+D100/B100),4)</f>
        <v>2.0000000000000001E-4</v>
      </c>
    </row>
    <row r="101" spans="1:6" x14ac:dyDescent="0.3">
      <c r="A101" s="8" t="s">
        <v>110</v>
      </c>
      <c r="B101" s="1">
        <v>46521</v>
      </c>
      <c r="C101" s="1">
        <v>38780.04</v>
      </c>
      <c r="D101" s="1">
        <f t="shared" si="21"/>
        <v>7740.9599999999991</v>
      </c>
      <c r="E101" s="46">
        <f t="shared" si="22"/>
        <v>0.16639999999999999</v>
      </c>
    </row>
    <row r="102" spans="1:6" x14ac:dyDescent="0.3">
      <c r="A102" s="8" t="s">
        <v>111</v>
      </c>
      <c r="B102" s="30">
        <v>87800</v>
      </c>
      <c r="C102" s="30">
        <v>58767.73</v>
      </c>
      <c r="D102" s="30">
        <f t="shared" si="21"/>
        <v>29032.269999999997</v>
      </c>
      <c r="E102" s="46">
        <f t="shared" si="22"/>
        <v>0.33069999999999999</v>
      </c>
      <c r="F102" t="s">
        <v>206</v>
      </c>
    </row>
    <row r="103" spans="1:6" x14ac:dyDescent="0.3">
      <c r="A103" s="8" t="s">
        <v>112</v>
      </c>
      <c r="B103" s="1">
        <f>SUM(B100:B102)</f>
        <v>295178</v>
      </c>
      <c r="C103" s="1">
        <f>SUM(C100:C102)</f>
        <v>258377.01</v>
      </c>
      <c r="D103" s="1">
        <f>+B103-C103</f>
        <v>36800.989999999991</v>
      </c>
      <c r="E103" s="46">
        <f t="shared" si="22"/>
        <v>0.12470000000000001</v>
      </c>
    </row>
    <row r="104" spans="1:6" x14ac:dyDescent="0.3">
      <c r="A104" s="8"/>
    </row>
    <row r="105" spans="1:6" x14ac:dyDescent="0.3">
      <c r="A105" s="8" t="s">
        <v>113</v>
      </c>
    </row>
    <row r="106" spans="1:6" x14ac:dyDescent="0.3">
      <c r="A106" s="8" t="s">
        <v>114</v>
      </c>
      <c r="B106" s="1">
        <v>448360</v>
      </c>
      <c r="C106" s="1">
        <v>446390.77</v>
      </c>
      <c r="D106" s="1">
        <f t="shared" ref="D106:D109" si="23">+B106-C106</f>
        <v>1969.2299999999814</v>
      </c>
      <c r="E106" s="46">
        <f t="shared" ref="E106:E110" si="24">ROUND((+D106/B106),4)</f>
        <v>4.4000000000000003E-3</v>
      </c>
    </row>
    <row r="107" spans="1:6" x14ac:dyDescent="0.3">
      <c r="A107" s="8" t="s">
        <v>115</v>
      </c>
      <c r="B107" s="1">
        <v>151844</v>
      </c>
      <c r="C107" s="1">
        <v>150684.97</v>
      </c>
      <c r="D107" s="1">
        <f t="shared" si="23"/>
        <v>1159.0299999999988</v>
      </c>
      <c r="E107" s="46">
        <f t="shared" si="24"/>
        <v>7.6E-3</v>
      </c>
    </row>
    <row r="108" spans="1:6" x14ac:dyDescent="0.3">
      <c r="A108" s="8" t="s">
        <v>116</v>
      </c>
      <c r="B108" s="1">
        <v>500</v>
      </c>
      <c r="D108" s="1">
        <f t="shared" si="23"/>
        <v>500</v>
      </c>
      <c r="E108" s="46">
        <f t="shared" si="24"/>
        <v>1</v>
      </c>
    </row>
    <row r="109" spans="1:6" x14ac:dyDescent="0.3">
      <c r="A109" s="8" t="s">
        <v>117</v>
      </c>
      <c r="B109" s="30">
        <v>1300</v>
      </c>
      <c r="C109" s="30">
        <v>1192.21</v>
      </c>
      <c r="D109" s="30">
        <f t="shared" si="23"/>
        <v>107.78999999999996</v>
      </c>
      <c r="E109" s="46">
        <f t="shared" si="24"/>
        <v>8.2900000000000001E-2</v>
      </c>
    </row>
    <row r="110" spans="1:6" x14ac:dyDescent="0.3">
      <c r="A110" s="8" t="s">
        <v>118</v>
      </c>
      <c r="B110" s="1">
        <f>SUM(B106:B109)</f>
        <v>602004</v>
      </c>
      <c r="C110" s="1">
        <f>SUM(C106:C109)</f>
        <v>598267.94999999995</v>
      </c>
      <c r="D110" s="1">
        <f>+B110-C110</f>
        <v>3736.0500000000466</v>
      </c>
      <c r="E110" s="46">
        <f t="shared" si="24"/>
        <v>6.1999999999999998E-3</v>
      </c>
    </row>
    <row r="111" spans="1:6" x14ac:dyDescent="0.3">
      <c r="A111" s="8"/>
    </row>
    <row r="112" spans="1:6" x14ac:dyDescent="0.3">
      <c r="A112" s="8" t="s">
        <v>119</v>
      </c>
      <c r="B112" s="1">
        <v>1066809</v>
      </c>
      <c r="C112" s="1">
        <v>1054154.5900000001</v>
      </c>
      <c r="D112" s="1">
        <f>+B112-C112</f>
        <v>12654.409999999916</v>
      </c>
      <c r="E112" s="46">
        <f t="shared" ref="E112" si="25">ROUND((+D112/B112),4)</f>
        <v>1.1900000000000001E-2</v>
      </c>
      <c r="F112" t="s">
        <v>207</v>
      </c>
    </row>
    <row r="113" spans="1:6" x14ac:dyDescent="0.3">
      <c r="A113" s="8"/>
    </row>
    <row r="114" spans="1:6" x14ac:dyDescent="0.3">
      <c r="A114" s="8" t="s">
        <v>120</v>
      </c>
      <c r="B114" s="1">
        <v>111609</v>
      </c>
      <c r="C114" s="1">
        <v>111384</v>
      </c>
      <c r="D114" s="1">
        <f>+B114-C114</f>
        <v>225</v>
      </c>
      <c r="E114" s="46">
        <f t="shared" ref="E114" si="26">ROUND((+D114/B114),4)</f>
        <v>2E-3</v>
      </c>
    </row>
    <row r="115" spans="1:6" x14ac:dyDescent="0.3">
      <c r="A115" s="8"/>
    </row>
    <row r="116" spans="1:6" x14ac:dyDescent="0.3">
      <c r="A116" s="8" t="s">
        <v>121</v>
      </c>
    </row>
    <row r="117" spans="1:6" x14ac:dyDescent="0.3">
      <c r="A117" s="8" t="s">
        <v>122</v>
      </c>
      <c r="B117" s="1">
        <v>2397861</v>
      </c>
      <c r="C117" s="1">
        <v>2161814.64</v>
      </c>
      <c r="D117" s="49">
        <f t="shared" ref="D117:D118" si="27">+B117-C117</f>
        <v>236046.35999999987</v>
      </c>
      <c r="E117" s="46">
        <f t="shared" ref="E117:E119" si="28">ROUND((+D117/B117),4)</f>
        <v>9.8400000000000001E-2</v>
      </c>
      <c r="F117" t="s">
        <v>225</v>
      </c>
    </row>
    <row r="118" spans="1:6" x14ac:dyDescent="0.3">
      <c r="A118" s="8" t="s">
        <v>123</v>
      </c>
      <c r="B118" s="30">
        <v>115000</v>
      </c>
      <c r="C118" s="30">
        <v>104258.71</v>
      </c>
      <c r="D118" s="30">
        <f t="shared" si="27"/>
        <v>10741.289999999994</v>
      </c>
      <c r="E118" s="46">
        <f t="shared" si="28"/>
        <v>9.3399999999999997E-2</v>
      </c>
    </row>
    <row r="119" spans="1:6" x14ac:dyDescent="0.3">
      <c r="A119" s="8" t="s">
        <v>124</v>
      </c>
      <c r="B119" s="1">
        <f>SUM(B117:B118)</f>
        <v>2512861</v>
      </c>
      <c r="C119" s="1">
        <f>SUM(C117:C118)</f>
        <v>2266073.35</v>
      </c>
      <c r="D119" s="1">
        <f>+B119-C119</f>
        <v>246787.64999999991</v>
      </c>
      <c r="E119" s="46">
        <f t="shared" si="28"/>
        <v>9.8199999999999996E-2</v>
      </c>
    </row>
    <row r="120" spans="1:6" x14ac:dyDescent="0.3">
      <c r="A120" s="8"/>
    </row>
    <row r="121" spans="1:6" x14ac:dyDescent="0.3">
      <c r="A121" s="8" t="s">
        <v>144</v>
      </c>
      <c r="B121" s="17">
        <v>2104036.4500000002</v>
      </c>
      <c r="C121" s="17">
        <v>855129.55</v>
      </c>
      <c r="D121" s="17">
        <f>+B121-C121</f>
        <v>1248906.9000000001</v>
      </c>
      <c r="E121" s="46">
        <f t="shared" ref="E121" si="29">ROUND((+D121/B121),4)</f>
        <v>0.59360000000000002</v>
      </c>
    </row>
    <row r="122" spans="1:6" x14ac:dyDescent="0.3">
      <c r="A122" s="8"/>
      <c r="B122" s="4"/>
      <c r="C122" s="4"/>
      <c r="D122" s="4"/>
      <c r="E122" s="4"/>
    </row>
    <row r="123" spans="1:6" x14ac:dyDescent="0.3">
      <c r="A123" s="8" t="s">
        <v>145</v>
      </c>
      <c r="B123" s="4">
        <v>1328927.1200000001</v>
      </c>
      <c r="C123" s="4">
        <v>1328927.1200000001</v>
      </c>
      <c r="D123" s="1">
        <f>+B123-C123</f>
        <v>0</v>
      </c>
      <c r="E123" s="46">
        <f t="shared" ref="E123" si="30">ROUND((+D123/B123),4)</f>
        <v>0</v>
      </c>
    </row>
    <row r="124" spans="1:6" x14ac:dyDescent="0.3">
      <c r="A124" s="8"/>
    </row>
    <row r="125" spans="1:6" x14ac:dyDescent="0.3">
      <c r="A125" s="8" t="s">
        <v>125</v>
      </c>
      <c r="B125" s="36">
        <f>+B119+B114+B112+B110+B103+B97+B83+B71+B121+B88+B123</f>
        <v>26403869.57</v>
      </c>
      <c r="C125" s="36">
        <f>+C119+C114+C112+C110+C103+C97+C83+C71+C121+C88+C123</f>
        <v>24363499.350000001</v>
      </c>
      <c r="D125" s="36">
        <f>+D119+D114+D112+D110+D103+D97+D83+D71+D121+D88+D123</f>
        <v>2040370.2200000004</v>
      </c>
      <c r="E125" s="46">
        <f t="shared" ref="E125" si="31">ROUND((+D125/B125),4)</f>
        <v>7.7299999999999994E-2</v>
      </c>
    </row>
    <row r="126" spans="1:6" x14ac:dyDescent="0.3">
      <c r="A126" s="16" t="s">
        <v>146</v>
      </c>
      <c r="C126" s="44">
        <f>-C15</f>
        <v>93259</v>
      </c>
    </row>
    <row r="127" spans="1:6" ht="15" thickBot="1" x14ac:dyDescent="0.35">
      <c r="A127" s="8" t="s">
        <v>147</v>
      </c>
      <c r="B127" s="34"/>
      <c r="C127" s="34">
        <f>SUM(C125:C126)</f>
        <v>24456758.350000001</v>
      </c>
      <c r="D127" s="34" t="s">
        <v>157</v>
      </c>
      <c r="E127" s="25"/>
    </row>
    <row r="128" spans="1:6" ht="15" thickTop="1" x14ac:dyDescent="0.3"/>
    <row r="130" spans="1:7" x14ac:dyDescent="0.3">
      <c r="A130" t="s">
        <v>158</v>
      </c>
      <c r="D130" s="1">
        <f>+D50</f>
        <v>1474731.7399999984</v>
      </c>
    </row>
    <row r="132" spans="1:7" x14ac:dyDescent="0.3">
      <c r="A132" t="s">
        <v>159</v>
      </c>
      <c r="D132" s="51">
        <f>+D125</f>
        <v>2040370.2200000004</v>
      </c>
      <c r="F132" s="51">
        <f>SUM(D132:D133)</f>
        <v>793198.26000000047</v>
      </c>
      <c r="G132" t="s">
        <v>220</v>
      </c>
    </row>
    <row r="133" spans="1:7" x14ac:dyDescent="0.3">
      <c r="A133" t="s">
        <v>160</v>
      </c>
      <c r="D133" s="51">
        <f>+'From PY Undes to CY Free Cash'!B25</f>
        <v>-1247171.96</v>
      </c>
    </row>
    <row r="134" spans="1:7" x14ac:dyDescent="0.3">
      <c r="A134" t="s">
        <v>161</v>
      </c>
      <c r="D134" s="1">
        <f>SUM(D130:D133)</f>
        <v>2267929.9999999991</v>
      </c>
      <c r="F134" s="12">
        <f>+D64</f>
        <v>43093.65</v>
      </c>
      <c r="G134" t="s">
        <v>208</v>
      </c>
    </row>
    <row r="135" spans="1:7" x14ac:dyDescent="0.3">
      <c r="F135" s="12">
        <f>+D91</f>
        <v>124769.91999999993</v>
      </c>
      <c r="G135" t="s">
        <v>209</v>
      </c>
    </row>
    <row r="136" spans="1:7" x14ac:dyDescent="0.3">
      <c r="A136" t="s">
        <v>221</v>
      </c>
      <c r="B136" s="1">
        <f>+B125</f>
        <v>26403869.57</v>
      </c>
      <c r="C136" s="1">
        <f t="shared" ref="C136:D136" si="32">+C125</f>
        <v>24363499.350000001</v>
      </c>
      <c r="D136" s="1">
        <f t="shared" si="32"/>
        <v>2040370.2200000004</v>
      </c>
      <c r="F136" s="12">
        <f>+D93</f>
        <v>41454.01999999999</v>
      </c>
      <c r="G136" t="s">
        <v>210</v>
      </c>
    </row>
    <row r="137" spans="1:7" x14ac:dyDescent="0.3">
      <c r="A137" t="s">
        <v>222</v>
      </c>
      <c r="B137" s="1">
        <f>-B121</f>
        <v>-2104036.4500000002</v>
      </c>
      <c r="C137" s="1">
        <f t="shared" ref="C137:D137" si="33">-C121</f>
        <v>-855129.55</v>
      </c>
      <c r="D137" s="1">
        <f t="shared" si="33"/>
        <v>-1248906.9000000001</v>
      </c>
      <c r="F137" s="12">
        <f>+D94</f>
        <v>59450.849999999977</v>
      </c>
      <c r="G137" t="s">
        <v>211</v>
      </c>
    </row>
    <row r="138" spans="1:7" x14ac:dyDescent="0.3">
      <c r="A138" t="s">
        <v>223</v>
      </c>
      <c r="B138" s="30">
        <f>-B123</f>
        <v>-1328927.1200000001</v>
      </c>
      <c r="C138" s="30">
        <f t="shared" ref="C138:D138" si="34">-C123</f>
        <v>-1328927.1200000001</v>
      </c>
      <c r="D138" s="30">
        <f t="shared" si="34"/>
        <v>0</v>
      </c>
      <c r="F138" s="15">
        <f>+D117</f>
        <v>236046.35999999987</v>
      </c>
      <c r="G138" t="s">
        <v>213</v>
      </c>
    </row>
    <row r="139" spans="1:7" x14ac:dyDescent="0.3">
      <c r="A139" t="s">
        <v>224</v>
      </c>
      <c r="B139" s="1">
        <f>SUM(B136:B138)</f>
        <v>22970906</v>
      </c>
      <c r="C139" s="1">
        <f t="shared" ref="C139:D139" si="35">SUM(C136:C138)</f>
        <v>22179442.68</v>
      </c>
      <c r="D139" s="1">
        <f t="shared" si="35"/>
        <v>791463.3200000003</v>
      </c>
      <c r="E139" s="46">
        <f>ROUND((+D139/B139),4)</f>
        <v>3.4500000000000003E-2</v>
      </c>
      <c r="F139" s="12">
        <f>SUM(F134:F138)</f>
        <v>504814.79999999976</v>
      </c>
      <c r="G139" t="s">
        <v>214</v>
      </c>
    </row>
    <row r="140" spans="1:7" x14ac:dyDescent="0.3">
      <c r="F140" s="46">
        <f>ROUND((+F139/F132),4)</f>
        <v>0.63639999999999997</v>
      </c>
      <c r="G140" t="s">
        <v>215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9DE17-B2F4-4075-B769-276007B87DE4}">
  <dimension ref="A1:E28"/>
  <sheetViews>
    <sheetView topLeftCell="A3" workbookViewId="0">
      <selection activeCell="E6" sqref="E6"/>
    </sheetView>
  </sheetViews>
  <sheetFormatPr defaultRowHeight="14.4" x14ac:dyDescent="0.3"/>
  <cols>
    <col min="1" max="1" width="26.6640625" customWidth="1"/>
    <col min="2" max="4" width="13.88671875" customWidth="1"/>
  </cols>
  <sheetData>
    <row r="1" spans="1:5" x14ac:dyDescent="0.3">
      <c r="A1" s="20"/>
      <c r="B1" s="21" t="s">
        <v>140</v>
      </c>
      <c r="C1" s="21" t="s">
        <v>141</v>
      </c>
      <c r="D1" s="22"/>
    </row>
    <row r="2" spans="1:5" x14ac:dyDescent="0.3">
      <c r="A2" s="23"/>
      <c r="B2" s="14" t="s">
        <v>35</v>
      </c>
      <c r="C2" s="14" t="s">
        <v>34</v>
      </c>
      <c r="D2" s="24" t="s">
        <v>135</v>
      </c>
    </row>
    <row r="3" spans="1:5" x14ac:dyDescent="0.3">
      <c r="A3" s="23" t="s">
        <v>154</v>
      </c>
      <c r="B3" s="14"/>
      <c r="C3" s="14"/>
      <c r="D3" s="24"/>
    </row>
    <row r="4" spans="1:5" x14ac:dyDescent="0.3">
      <c r="A4" s="23" t="s">
        <v>70</v>
      </c>
      <c r="B4" s="25">
        <f>2772471-169000</f>
        <v>2603471</v>
      </c>
      <c r="C4" s="26">
        <v>2809809.71</v>
      </c>
      <c r="D4" s="27">
        <f>+C4-B4</f>
        <v>206338.70999999996</v>
      </c>
      <c r="E4" t="s">
        <v>281</v>
      </c>
    </row>
    <row r="5" spans="1:5" x14ac:dyDescent="0.3">
      <c r="A5" s="23"/>
      <c r="B5" s="25"/>
      <c r="C5" s="25"/>
      <c r="D5" s="27"/>
      <c r="E5" t="s">
        <v>282</v>
      </c>
    </row>
    <row r="6" spans="1:5" x14ac:dyDescent="0.3">
      <c r="A6" s="28" t="s">
        <v>150</v>
      </c>
      <c r="B6" s="25"/>
      <c r="C6" s="25"/>
      <c r="D6" s="27"/>
    </row>
    <row r="7" spans="1:5" x14ac:dyDescent="0.3">
      <c r="A7" s="28" t="s">
        <v>150</v>
      </c>
      <c r="B7" s="25">
        <v>1751791</v>
      </c>
      <c r="C7" s="25">
        <v>1662652.67</v>
      </c>
      <c r="D7" s="27">
        <f t="shared" ref="D7:D11" si="0">+B7-C7</f>
        <v>89138.330000000075</v>
      </c>
      <c r="E7" t="s">
        <v>280</v>
      </c>
    </row>
    <row r="8" spans="1:5" x14ac:dyDescent="0.3">
      <c r="A8" s="28" t="s">
        <v>151</v>
      </c>
      <c r="B8" s="25"/>
      <c r="C8" s="25"/>
      <c r="D8" s="27">
        <f t="shared" si="0"/>
        <v>0</v>
      </c>
    </row>
    <row r="9" spans="1:5" x14ac:dyDescent="0.3">
      <c r="A9" s="28" t="s">
        <v>126</v>
      </c>
      <c r="B9" s="25">
        <v>50800</v>
      </c>
      <c r="C9" s="25">
        <v>34832.730000000003</v>
      </c>
      <c r="D9" s="27">
        <f t="shared" si="0"/>
        <v>15967.269999999997</v>
      </c>
    </row>
    <row r="10" spans="1:5" x14ac:dyDescent="0.3">
      <c r="A10" s="28" t="s">
        <v>152</v>
      </c>
      <c r="B10" s="25">
        <v>514047</v>
      </c>
      <c r="C10" s="25">
        <v>489041.95</v>
      </c>
      <c r="D10" s="27">
        <f t="shared" si="0"/>
        <v>25005.049999999988</v>
      </c>
    </row>
    <row r="11" spans="1:5" x14ac:dyDescent="0.3">
      <c r="A11" s="28" t="s">
        <v>153</v>
      </c>
      <c r="B11" s="25">
        <v>270333</v>
      </c>
      <c r="C11" s="25">
        <v>228342.64</v>
      </c>
      <c r="D11" s="27">
        <f t="shared" si="0"/>
        <v>41990.359999999986</v>
      </c>
    </row>
    <row r="12" spans="1:5" x14ac:dyDescent="0.3">
      <c r="A12" s="28"/>
      <c r="B12" s="25"/>
      <c r="C12" s="25"/>
      <c r="D12" s="27"/>
    </row>
    <row r="13" spans="1:5" x14ac:dyDescent="0.3">
      <c r="A13" s="28" t="s">
        <v>155</v>
      </c>
      <c r="B13" s="25">
        <f>SUM(B6:B12)</f>
        <v>2586971</v>
      </c>
      <c r="C13" s="25">
        <f>SUM(C6:C12)</f>
        <v>2414869.9900000002</v>
      </c>
      <c r="D13" s="27">
        <f>+B13-C13</f>
        <v>172101.00999999978</v>
      </c>
    </row>
    <row r="14" spans="1:5" x14ac:dyDescent="0.3">
      <c r="A14" s="23"/>
      <c r="B14" s="25"/>
      <c r="C14" s="25"/>
      <c r="D14" s="27"/>
    </row>
    <row r="15" spans="1:5" x14ac:dyDescent="0.3">
      <c r="A15" s="29" t="s">
        <v>156</v>
      </c>
      <c r="B15" s="30"/>
      <c r="C15" s="30"/>
      <c r="D15" s="31">
        <f>+D13+D4</f>
        <v>378439.71999999974</v>
      </c>
      <c r="E15" t="s">
        <v>279</v>
      </c>
    </row>
    <row r="16" spans="1:5" x14ac:dyDescent="0.3">
      <c r="B16" s="1"/>
      <c r="C16" s="1"/>
      <c r="D16" s="1"/>
    </row>
    <row r="17" spans="1:4" x14ac:dyDescent="0.3">
      <c r="A17" s="20"/>
      <c r="B17" s="21" t="s">
        <v>140</v>
      </c>
      <c r="C17" s="21" t="s">
        <v>141</v>
      </c>
      <c r="D17" s="22"/>
    </row>
    <row r="18" spans="1:4" x14ac:dyDescent="0.3">
      <c r="A18" s="23"/>
      <c r="B18" s="14" t="s">
        <v>35</v>
      </c>
      <c r="C18" s="14" t="s">
        <v>34</v>
      </c>
      <c r="D18" s="24" t="s">
        <v>135</v>
      </c>
    </row>
    <row r="19" spans="1:4" x14ac:dyDescent="0.3">
      <c r="A19" s="23"/>
      <c r="B19" s="25"/>
      <c r="C19" s="25"/>
      <c r="D19" s="27"/>
    </row>
    <row r="20" spans="1:4" x14ac:dyDescent="0.3">
      <c r="A20" s="23" t="s">
        <v>71</v>
      </c>
      <c r="B20" s="25">
        <f>7500+206164</f>
        <v>213664</v>
      </c>
      <c r="C20" s="26">
        <f>-85270.83+299027.05</f>
        <v>213756.21999999997</v>
      </c>
      <c r="D20" s="27">
        <f>+C20-B20</f>
        <v>92.21999999997206</v>
      </c>
    </row>
    <row r="21" spans="1:4" x14ac:dyDescent="0.3">
      <c r="A21" s="23"/>
      <c r="B21" s="25"/>
      <c r="C21" s="25"/>
      <c r="D21" s="27">
        <f>+C21-B21</f>
        <v>0</v>
      </c>
    </row>
    <row r="22" spans="1:4" x14ac:dyDescent="0.3">
      <c r="A22" s="28" t="s">
        <v>127</v>
      </c>
      <c r="B22" s="25">
        <v>211419.45</v>
      </c>
      <c r="C22" s="25">
        <v>210949.27</v>
      </c>
      <c r="D22" s="27">
        <f t="shared" ref="D22:D25" si="1">+B22-C22</f>
        <v>470.18000000002212</v>
      </c>
    </row>
    <row r="23" spans="1:4" x14ac:dyDescent="0.3">
      <c r="A23" s="28" t="s">
        <v>128</v>
      </c>
      <c r="B23" s="25">
        <v>3229.55</v>
      </c>
      <c r="C23" s="25">
        <v>3229.55</v>
      </c>
      <c r="D23" s="27">
        <f t="shared" si="1"/>
        <v>0</v>
      </c>
    </row>
    <row r="24" spans="1:4" x14ac:dyDescent="0.3">
      <c r="A24" s="28" t="s">
        <v>129</v>
      </c>
      <c r="B24" s="25">
        <v>8892</v>
      </c>
      <c r="C24" s="25">
        <v>8525.92</v>
      </c>
      <c r="D24" s="27">
        <f t="shared" si="1"/>
        <v>366.07999999999993</v>
      </c>
    </row>
    <row r="25" spans="1:4" x14ac:dyDescent="0.3">
      <c r="A25" s="28"/>
      <c r="B25" s="25"/>
      <c r="C25" s="25"/>
      <c r="D25" s="27">
        <f t="shared" si="1"/>
        <v>0</v>
      </c>
    </row>
    <row r="26" spans="1:4" x14ac:dyDescent="0.3">
      <c r="A26" s="28" t="s">
        <v>130</v>
      </c>
      <c r="B26" s="25">
        <f>SUM(B22:B25)</f>
        <v>223541</v>
      </c>
      <c r="C26" s="25">
        <f t="shared" ref="C26:D26" si="2">SUM(C22:C25)</f>
        <v>222704.74</v>
      </c>
      <c r="D26" s="27">
        <f t="shared" si="2"/>
        <v>836.26000000002205</v>
      </c>
    </row>
    <row r="27" spans="1:4" x14ac:dyDescent="0.3">
      <c r="A27" s="28"/>
      <c r="B27" s="25"/>
      <c r="C27" s="25"/>
      <c r="D27" s="27"/>
    </row>
    <row r="28" spans="1:4" x14ac:dyDescent="0.3">
      <c r="A28" s="29" t="s">
        <v>156</v>
      </c>
      <c r="B28" s="32"/>
      <c r="C28" s="32"/>
      <c r="D28" s="33">
        <f>+D26+D20</f>
        <v>928.47999999999411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A7C068C8668B49BEE35E78F7C6470F" ma:contentTypeVersion="11" ma:contentTypeDescription="Create a new document." ma:contentTypeScope="" ma:versionID="eee02dd30b8909e8c3de6e7212a75180">
  <xsd:schema xmlns:xsd="http://www.w3.org/2001/XMLSchema" xmlns:xs="http://www.w3.org/2001/XMLSchema" xmlns:p="http://schemas.microsoft.com/office/2006/metadata/properties" xmlns:ns2="59a1a659-2450-4b3d-ae2b-17700db09355" targetNamespace="http://schemas.microsoft.com/office/2006/metadata/properties" ma:root="true" ma:fieldsID="66dde167376b9216e9c84a6359860819" ns2:_="">
    <xsd:import namespace="59a1a659-2450-4b3d-ae2b-17700db093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1a659-2450-4b3d-ae2b-17700db093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A1DF0-1902-451C-987E-0AD980B31B7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5D81B05-A38E-47E2-9387-8B1E6728D175}">
  <ds:schemaRefs>
    <ds:schemaRef ds:uri="http://schemas.microsoft.com/sharepoint/v3/contenttype/forms"/>
  </ds:schemaRefs>
</ds:datastoreItem>
</file>

<file path=customXml/itemProps3.xml><?xml version="1.0" encoding="utf-8"?>
<ds:datastoreItem xmlns:ds="http://schemas.openxmlformats.org/officeDocument/2006/customXml" ds:itemID="{0DC3D628-F95F-416F-9316-C58D704E3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1a659-2450-4b3d-ae2b-17700db093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Narrative</vt:lpstr>
      <vt:lpstr>General Fund Balance Sheet</vt:lpstr>
      <vt:lpstr>From PY Undes to CY Free Cash</vt:lpstr>
      <vt:lpstr>GF Revenues and Expenditures</vt:lpstr>
      <vt:lpstr>Ent Rev and Exp</vt:lpstr>
      <vt:lpstr>'GF Revenues and Expenditures'!Print_Area</vt:lpstr>
      <vt:lpstr>'GF Revenues and Expenditures'!Print_Titles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CarolynO-Montague Town Accountant</dc:creator>
  <cp:lastModifiedBy>CarolynO-Montague Town Accountant</cp:lastModifiedBy>
  <cp:lastPrinted>2022-09-21T13:03:55Z</cp:lastPrinted>
  <dcterms:created xsi:type="dcterms:W3CDTF">2022-09-20T17:04:23Z</dcterms:created>
  <dcterms:modified xsi:type="dcterms:W3CDTF">2022-10-13T16:20:47Z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0x010100E7A7C068C8668B49BEE35E78F7C6470F</vt:lpwstr>
  </property>
</Properties>
</file>